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activeTab="0"/>
  </bookViews>
  <sheets>
    <sheet name="BS" sheetId="1" r:id="rId1"/>
    <sheet name="IS" sheetId="2" r:id="rId2"/>
    <sheet name="equity" sheetId="3" r:id="rId3"/>
    <sheet name="seg" sheetId="4" r:id="rId4"/>
    <sheet name="CF " sheetId="5" r:id="rId5"/>
  </sheets>
  <externalReferences>
    <externalReference r:id="rId8"/>
    <externalReference r:id="rId9"/>
  </externalReferences>
  <definedNames>
    <definedName name="A472..A481_" localSheetId="2">'[2]Consol'!#REF!</definedName>
    <definedName name="A472..A481_">'[1]Consol'!#REF!</definedName>
  </definedNames>
  <calcPr fullCalcOnLoad="1"/>
</workbook>
</file>

<file path=xl/sharedStrings.xml><?xml version="1.0" encoding="utf-8"?>
<sst xmlns="http://schemas.openxmlformats.org/spreadsheetml/2006/main" count="234" uniqueCount="176">
  <si>
    <t>TALAM CORPORATION BERHAD (1120-H)</t>
  </si>
  <si>
    <t>Condensed Consolidated Balance Sheets</t>
  </si>
  <si>
    <t>UNAUDITED</t>
  </si>
  <si>
    <t>AUDITED</t>
  </si>
  <si>
    <t>QUARTER</t>
  </si>
  <si>
    <t xml:space="preserve">AS AT </t>
  </si>
  <si>
    <t>AS AT</t>
  </si>
  <si>
    <t>PRECEDING</t>
  </si>
  <si>
    <t>FINANCIAL</t>
  </si>
  <si>
    <t>YEAR END</t>
  </si>
  <si>
    <t>RM000</t>
  </si>
  <si>
    <t>PROPERTY, PLANT AND EQUIPMENT</t>
  </si>
  <si>
    <t>LAND HELD FOR DEVELOPMENT</t>
  </si>
  <si>
    <t>INVESTMENT PROPERTIES</t>
  </si>
  <si>
    <t xml:space="preserve">GOODWILL </t>
  </si>
  <si>
    <t>SINKING FUND HELD BY TRUSTEES</t>
  </si>
  <si>
    <t>OTHER INVESTMENT</t>
  </si>
  <si>
    <t>CURRENT ASSETS</t>
  </si>
  <si>
    <t xml:space="preserve"> </t>
  </si>
  <si>
    <t>Inventories</t>
  </si>
  <si>
    <t>Total Current Assets</t>
  </si>
  <si>
    <t>CURRENT LIABILITIES</t>
  </si>
  <si>
    <t>Short term borrowings</t>
  </si>
  <si>
    <t>Taxation</t>
  </si>
  <si>
    <t>Total Current Liabilities</t>
  </si>
  <si>
    <t>NET CURRENT ASSETS</t>
  </si>
  <si>
    <t>NET ASSETS</t>
  </si>
  <si>
    <t>Represented by:</t>
  </si>
  <si>
    <t>RESERVES</t>
  </si>
  <si>
    <t>MINORITY INTERESTS</t>
  </si>
  <si>
    <t>LONG TERM LIABILITIES</t>
  </si>
  <si>
    <t>Net tangible assets per share (RM) after netting off</t>
  </si>
  <si>
    <t xml:space="preserve">The Condensed Consolidated Balance Sheet should be read in conjunction with </t>
  </si>
  <si>
    <t>Condensed Consolidated Income Statements</t>
  </si>
  <si>
    <t>2004</t>
  </si>
  <si>
    <t>Current Quarter</t>
  </si>
  <si>
    <t>Comparative quarter</t>
  </si>
  <si>
    <t>Cumulative to-date</t>
  </si>
  <si>
    <t>RM'000</t>
  </si>
  <si>
    <t>Revenue</t>
  </si>
  <si>
    <t>Operating Expenses</t>
  </si>
  <si>
    <t>Other Operating Income</t>
  </si>
  <si>
    <t>Finance Costs</t>
  </si>
  <si>
    <t>Investing Results</t>
  </si>
  <si>
    <t>Minority Interest</t>
  </si>
  <si>
    <t>Net Profit for the period</t>
  </si>
  <si>
    <t xml:space="preserve">Weighted average no of </t>
  </si>
  <si>
    <t xml:space="preserve">The Condensed Consolidated Income Statement should be read in conjunction with </t>
  </si>
  <si>
    <t>TALAM CORPORATION BERHAD</t>
  </si>
  <si>
    <t>CONDENSED CASHFLOW STATEMENT</t>
  </si>
  <si>
    <t>RM '000</t>
  </si>
  <si>
    <t>Net cash used in operations</t>
  </si>
  <si>
    <t>NET DECREASE IN CASH AND CASH EQUIVALENT</t>
  </si>
  <si>
    <t>CASH AND CASH EQUIVALENTS AT BEGINNING OF THE YEAR</t>
  </si>
  <si>
    <t>Cash and bank balances</t>
  </si>
  <si>
    <t>Deposits</t>
  </si>
  <si>
    <t>Bank overdrafts</t>
  </si>
  <si>
    <t>Less : Short  Term Deposit Restricted in Use</t>
  </si>
  <si>
    <t xml:space="preserve">The Condensed Consolidated Statement of Changes In Equity should be read in conjunction with </t>
  </si>
  <si>
    <t>Segmental Analysis</t>
  </si>
  <si>
    <t>a</t>
  </si>
  <si>
    <t>Business Segments</t>
  </si>
  <si>
    <t>Property investment</t>
  </si>
  <si>
    <t>Hotel &amp;</t>
  </si>
  <si>
    <t>Total before</t>
  </si>
  <si>
    <t xml:space="preserve">&amp; development </t>
  </si>
  <si>
    <t>Education</t>
  </si>
  <si>
    <t>elimination</t>
  </si>
  <si>
    <t>Eliminations</t>
  </si>
  <si>
    <t>Consolidated</t>
  </si>
  <si>
    <t>REVENUE</t>
  </si>
  <si>
    <t>External sales</t>
  </si>
  <si>
    <t>Inter-segment sales</t>
  </si>
  <si>
    <t>Total revenue</t>
  </si>
  <si>
    <t>RESULT</t>
  </si>
  <si>
    <t>Add:Interest Income</t>
  </si>
  <si>
    <t>Less:Interest Expense</t>
  </si>
  <si>
    <t>Segment result</t>
  </si>
  <si>
    <t>Profit before taxation</t>
  </si>
  <si>
    <t>Income taxes</t>
  </si>
  <si>
    <t>Profit after taxation</t>
  </si>
  <si>
    <t>OTHER INFORMATION</t>
  </si>
  <si>
    <t>Capital expenditure</t>
  </si>
  <si>
    <t>CONSOLIDATED BALANCE SHEET</t>
  </si>
  <si>
    <t>ASSETS</t>
  </si>
  <si>
    <t>Segment assets</t>
  </si>
  <si>
    <t>LIABILITIES</t>
  </si>
  <si>
    <t>Segment liabilities</t>
  </si>
  <si>
    <t>b</t>
  </si>
  <si>
    <t>Geographical segments</t>
  </si>
  <si>
    <t>Sales</t>
  </si>
  <si>
    <t>Segment</t>
  </si>
  <si>
    <t xml:space="preserve">Additions to Prop. </t>
  </si>
  <si>
    <t>revenue</t>
  </si>
  <si>
    <t>Assets</t>
  </si>
  <si>
    <t>Plant &amp; Equipment</t>
  </si>
  <si>
    <t>Malaysia</t>
  </si>
  <si>
    <t>The People's Republic of China</t>
  </si>
  <si>
    <t>Condensed Consolidated Statements of Changes in Equity</t>
  </si>
  <si>
    <t>Distributable</t>
  </si>
  <si>
    <t>Reserves</t>
  </si>
  <si>
    <t>Share</t>
  </si>
  <si>
    <t>Capital</t>
  </si>
  <si>
    <t>Foreign</t>
  </si>
  <si>
    <t>Equity</t>
  </si>
  <si>
    <t>Retained</t>
  </si>
  <si>
    <t xml:space="preserve">Treasury </t>
  </si>
  <si>
    <t>Premium</t>
  </si>
  <si>
    <t xml:space="preserve">Exchange </t>
  </si>
  <si>
    <t>Components</t>
  </si>
  <si>
    <t>Profits</t>
  </si>
  <si>
    <t>Shares</t>
  </si>
  <si>
    <t>Total</t>
  </si>
  <si>
    <t>of ICULS</t>
  </si>
  <si>
    <t>Disposal of treasury shares</t>
  </si>
  <si>
    <t>Foreign exchange differences</t>
  </si>
  <si>
    <t>Dividend</t>
  </si>
  <si>
    <t>Conversion of 7% ICULS 2003/2005</t>
  </si>
  <si>
    <t>Liability component of ICPS</t>
  </si>
  <si>
    <t>Net Profit for the year</t>
  </si>
  <si>
    <t>Balance at 31 January 2004</t>
  </si>
  <si>
    <t xml:space="preserve">Irredeemable Convertible Unsecured Loan Stocks </t>
  </si>
  <si>
    <t>2005</t>
  </si>
  <si>
    <t>ordinary shares ( '000 )</t>
  </si>
  <si>
    <t>Depreciation &amp; amortisation</t>
  </si>
  <si>
    <t>Non cash Expenses other than</t>
  </si>
  <si>
    <t xml:space="preserve">        depreciation and amortisation</t>
  </si>
  <si>
    <t>Gain on disposal of treasury shares</t>
  </si>
  <si>
    <t>Cash and cash equivalent at end of financial year comprise:</t>
  </si>
  <si>
    <t>Balance at 31 January 2005</t>
  </si>
  <si>
    <t>DEFERRED TAX ASSETS</t>
  </si>
  <si>
    <t>Property development costs</t>
  </si>
  <si>
    <t>Receivables</t>
  </si>
  <si>
    <t>Cash and cash bank balances</t>
  </si>
  <si>
    <t>Provision for liabilities</t>
  </si>
  <si>
    <t>Payables</t>
  </si>
  <si>
    <t>SHARE CAPITAL</t>
  </si>
  <si>
    <t>TREASURY SHARES</t>
  </si>
  <si>
    <t>Long term borrowings</t>
  </si>
  <si>
    <t>Deferred Progress Billing (long term)</t>
  </si>
  <si>
    <t>Deferred progress billings (short term)</t>
  </si>
  <si>
    <t>Other long term payables</t>
  </si>
  <si>
    <t>Deferred tax liabilities</t>
  </si>
  <si>
    <t>SHAREHOLDERS' EQUITY</t>
  </si>
  <si>
    <t>&lt;-------------------  Non-Distributable Reserves  ---------------------&gt;</t>
  </si>
  <si>
    <t>Conversion of 7% ICULS 2003/2006</t>
  </si>
  <si>
    <t>Shares repurchased held at treasury</t>
  </si>
  <si>
    <t xml:space="preserve">     shares, at cost</t>
  </si>
  <si>
    <t>Conversion of ICULS</t>
  </si>
  <si>
    <t>Financial Period Ended 30 April 2005</t>
  </si>
  <si>
    <t>For the Financial Period ended 30 April 2005</t>
  </si>
  <si>
    <t>the Annual Financial Report for the year ended 31 January 2005.</t>
  </si>
  <si>
    <t>CASH AND CASH EQUIVALENTS AT END OF THE PERIOD</t>
  </si>
  <si>
    <t>For the quarter ended 30 April 2005</t>
  </si>
  <si>
    <t>Ended 30 Apr</t>
  </si>
  <si>
    <t>3 months</t>
  </si>
  <si>
    <t>the Annual Financial Report for the year ended 31 January 2005</t>
  </si>
  <si>
    <t>As At 30 April 2005</t>
  </si>
  <si>
    <t>Financial Year Ended 31 January 2005</t>
  </si>
  <si>
    <t>Increase in equity component of ICULS</t>
  </si>
  <si>
    <t xml:space="preserve">  876,600 (2005 : Nil) Treasury Shares</t>
  </si>
  <si>
    <t>N/A</t>
  </si>
  <si>
    <t>Balance at 30 April 2005</t>
  </si>
  <si>
    <t>FOR THE PERIOD ENDED 30 APRIL 2005</t>
  </si>
  <si>
    <t>Net cash generated from investing activities</t>
  </si>
  <si>
    <t>Net cash generated from financing activities</t>
  </si>
  <si>
    <t>recreation &amp;</t>
  </si>
  <si>
    <t>Inventories written down</t>
  </si>
  <si>
    <t>Profit /(loss) from Operations</t>
  </si>
  <si>
    <t>Profit /(loss) before tax</t>
  </si>
  <si>
    <t>Profit /(loss) after tax</t>
  </si>
  <si>
    <t>Net Profit /(loss) for the period</t>
  </si>
  <si>
    <t>Earnings / (loss) Per Share - Basic (Sen)</t>
  </si>
  <si>
    <t xml:space="preserve">                                                - Diluted (Sen)</t>
  </si>
  <si>
    <t>Note:</t>
  </si>
  <si>
    <t>Profit/ (Loss) Before Interest &amp; Tax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</si>
</sst>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dd\-mmm\-yy_)"/>
    <numFmt numFmtId="171" formatCode="hh:mm\ AM/PM_)"/>
    <numFmt numFmtId="172" formatCode="mm/dd/yy_)"/>
    <numFmt numFmtId="173" formatCode="#,##0.000_);\(#,##0.000\)"/>
    <numFmt numFmtId="174" formatCode="0.000_)"/>
    <numFmt numFmtId="175" formatCode="#,##0.0000_);\(#,##0.0000\)"/>
    <numFmt numFmtId="176" formatCode="0.0000_)"/>
    <numFmt numFmtId="177" formatCode="0_)"/>
    <numFmt numFmtId="178" formatCode="0.0%"/>
    <numFmt numFmtId="179" formatCode="_(* #,##0.0_);_(* \(#,##0.0\);_(* &quot;-&quot;??_);_(@_)"/>
    <numFmt numFmtId="180" formatCode="_(* #,##0_);_(* \(#,##0\);_(* &quot;-&quot;??_);_(@_)"/>
    <numFmt numFmtId="181" formatCode="#,##0.0_);\(#,##0.0\)"/>
    <numFmt numFmtId="182" formatCode="0.00_);\(0.00\)"/>
    <numFmt numFmtId="183" formatCode="0.0_);\(0.0\)"/>
    <numFmt numFmtId="184" formatCode="0_);\(0\)"/>
    <numFmt numFmtId="185" formatCode="_(* #,##0.000_);_(* \(#,##0.000\);_(* &quot;-&quot;??_);_(@_)"/>
    <numFmt numFmtId="186" formatCode="_(* #,##0.0000_);_(* \(#,##0.0000\);_(* &quot;-&quot;??_);_(@_)"/>
    <numFmt numFmtId="187" formatCode="_(* #,##0.0000_);_(* \(#,##0.0000\);_(* &quot;-&quot;????_);_(@_)"/>
    <numFmt numFmtId="188" formatCode="0.00;[Red]0.00"/>
    <numFmt numFmtId="189" formatCode="0.0;[Red]0.0"/>
    <numFmt numFmtId="190" formatCode="0;[Red]0"/>
    <numFmt numFmtId="191" formatCode="_(* #,##0.000_);_(* \(#,##0.000\);_(* &quot;-&quot;???_);_(@_)"/>
    <numFmt numFmtId="192" formatCode="_(* #,##0.00000_);_(* \(#,##0.00000\);_(* &quot;-&quot;??_);_(@_)"/>
    <numFmt numFmtId="193" formatCode="_(* #,##0.0_);_(* \(#,##0.0\);_(* &quot;-&quot;?_);_(@_)"/>
    <numFmt numFmtId="194" formatCode="_(* #,##0.000000_);_(* \(#,##0.000000\);_(* &quot;-&quot;??_);_(@_)"/>
    <numFmt numFmtId="195" formatCode="mm/dd/yyyy"/>
    <numFmt numFmtId="196" formatCode="0.000%"/>
    <numFmt numFmtId="197" formatCode="0.0000%"/>
    <numFmt numFmtId="198" formatCode="#,##0.0_);[Red]\(#,##0.0\)"/>
    <numFmt numFmtId="199" formatCode="#,##0.000_);[Red]\(#,##0.000\)"/>
    <numFmt numFmtId="200" formatCode="#,##0.0000_);[Red]\(#,##0.0000\)"/>
    <numFmt numFmtId="201" formatCode="#,##0.000000000000_);[Red]\(#,##0.000000000000\)"/>
    <numFmt numFmtId="202" formatCode="#,##0.000000000000000000_);[Red]\(#,##0.000000000000000000\)"/>
    <numFmt numFmtId="203" formatCode="_(* #,##0.0000000_);_(* \(#,##0.0000000\);_(* &quot;-&quot;??_);_(@_)"/>
    <numFmt numFmtId="204" formatCode="mmmm\-yy"/>
    <numFmt numFmtId="205" formatCode="[$-409]dddd\,\ mmmm\ dd\,\ yyyy"/>
    <numFmt numFmtId="206" formatCode="[$-409]d/mmm/yyyy;@"/>
  </numFmts>
  <fonts count="18">
    <font>
      <sz val="12"/>
      <name val="TimesNewRomanPS"/>
      <family val="0"/>
    </font>
    <font>
      <sz val="10"/>
      <name val="Arial"/>
      <family val="0"/>
    </font>
    <font>
      <u val="single"/>
      <sz val="12"/>
      <color indexed="36"/>
      <name val="TimesNewRomanPS"/>
      <family val="0"/>
    </font>
    <font>
      <u val="single"/>
      <sz val="12"/>
      <color indexed="12"/>
      <name val="TimesNewRomanPS"/>
      <family val="0"/>
    </font>
    <font>
      <b/>
      <u val="single"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NewRomanPS"/>
      <family val="0"/>
    </font>
    <font>
      <b/>
      <sz val="10"/>
      <name val="TimesNewRomanPS"/>
      <family val="0"/>
    </font>
    <font>
      <b/>
      <i/>
      <sz val="8"/>
      <name val="Times New Roman"/>
      <family val="1"/>
    </font>
    <font>
      <i/>
      <sz val="8"/>
      <name val="Times New Roman"/>
      <family val="1"/>
    </font>
    <font>
      <b/>
      <i/>
      <u val="single"/>
      <sz val="8"/>
      <name val="Times New Roman"/>
      <family val="1"/>
    </font>
    <font>
      <b/>
      <i/>
      <sz val="8"/>
      <name val="TimesNewRomanPS"/>
      <family val="0"/>
    </font>
    <font>
      <u val="single"/>
      <sz val="12"/>
      <name val="Times New Roman"/>
      <family val="1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</borders>
  <cellStyleXfs count="2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08">
    <xf numFmtId="37" fontId="0" fillId="0" borderId="0" xfId="0" applyAlignment="1">
      <alignment/>
    </xf>
    <xf numFmtId="37" fontId="4" fillId="0" borderId="0" xfId="0" applyFont="1" applyAlignment="1">
      <alignment/>
    </xf>
    <xf numFmtId="37" fontId="5" fillId="0" borderId="0" xfId="0" applyFont="1" applyFill="1" applyAlignment="1">
      <alignment/>
    </xf>
    <xf numFmtId="37" fontId="6" fillId="0" borderId="0" xfId="0" applyFont="1" applyFill="1" applyAlignment="1">
      <alignment/>
    </xf>
    <xf numFmtId="37" fontId="6" fillId="0" borderId="0" xfId="0" applyFont="1" applyFill="1" applyAlignment="1">
      <alignment horizontal="center"/>
    </xf>
    <xf numFmtId="37" fontId="5" fillId="0" borderId="0" xfId="0" applyFont="1" applyFill="1" applyAlignment="1">
      <alignment horizontal="center"/>
    </xf>
    <xf numFmtId="180" fontId="5" fillId="0" borderId="0" xfId="15" applyNumberFormat="1" applyFont="1" applyFill="1" applyAlignment="1">
      <alignment/>
    </xf>
    <xf numFmtId="180" fontId="5" fillId="0" borderId="0" xfId="0" applyNumberFormat="1" applyFont="1" applyFill="1" applyAlignment="1">
      <alignment/>
    </xf>
    <xf numFmtId="180" fontId="5" fillId="0" borderId="0" xfId="15" applyNumberFormat="1" applyFont="1" applyFill="1" applyAlignment="1">
      <alignment horizontal="center"/>
    </xf>
    <xf numFmtId="180" fontId="5" fillId="0" borderId="0" xfId="15" applyNumberFormat="1" applyFont="1" applyFill="1" applyBorder="1" applyAlignment="1">
      <alignment/>
    </xf>
    <xf numFmtId="37" fontId="7" fillId="0" borderId="0" xfId="0" applyFont="1" applyFill="1" applyAlignment="1">
      <alignment/>
    </xf>
    <xf numFmtId="180" fontId="5" fillId="0" borderId="1" xfId="15" applyNumberFormat="1" applyFont="1" applyFill="1" applyBorder="1" applyAlignment="1">
      <alignment/>
    </xf>
    <xf numFmtId="180" fontId="5" fillId="0" borderId="2" xfId="15" applyNumberFormat="1" applyFont="1" applyFill="1" applyBorder="1" applyAlignment="1">
      <alignment/>
    </xf>
    <xf numFmtId="180" fontId="5" fillId="0" borderId="3" xfId="15" applyNumberFormat="1" applyFont="1" applyFill="1" applyBorder="1" applyAlignment="1">
      <alignment/>
    </xf>
    <xf numFmtId="180" fontId="5" fillId="0" borderId="4" xfId="15" applyNumberFormat="1" applyFont="1" applyFill="1" applyBorder="1" applyAlignment="1">
      <alignment/>
    </xf>
    <xf numFmtId="180" fontId="5" fillId="0" borderId="5" xfId="15" applyNumberFormat="1" applyFont="1" applyFill="1" applyBorder="1" applyAlignment="1">
      <alignment/>
    </xf>
    <xf numFmtId="43" fontId="5" fillId="0" borderId="0" xfId="15" applyFont="1" applyFill="1" applyAlignment="1">
      <alignment/>
    </xf>
    <xf numFmtId="186" fontId="5" fillId="0" borderId="6" xfId="15" applyNumberFormat="1" applyFont="1" applyFill="1" applyBorder="1" applyAlignment="1">
      <alignment/>
    </xf>
    <xf numFmtId="186" fontId="5" fillId="0" borderId="0" xfId="15" applyNumberFormat="1" applyFont="1" applyFill="1" applyBorder="1" applyAlignment="1">
      <alignment/>
    </xf>
    <xf numFmtId="37" fontId="5" fillId="0" borderId="0" xfId="0" applyFont="1" applyFill="1" applyBorder="1" applyAlignment="1">
      <alignment/>
    </xf>
    <xf numFmtId="37" fontId="5" fillId="0" borderId="0" xfId="0" applyFont="1" applyAlignment="1">
      <alignment/>
    </xf>
    <xf numFmtId="37" fontId="4" fillId="0" borderId="0" xfId="0" applyFont="1" applyFill="1" applyAlignment="1">
      <alignment/>
    </xf>
    <xf numFmtId="180" fontId="6" fillId="0" borderId="3" xfId="15" applyNumberFormat="1" applyFont="1" applyFill="1" applyBorder="1" applyAlignment="1" quotePrefix="1">
      <alignment horizontal="center"/>
    </xf>
    <xf numFmtId="180" fontId="6" fillId="0" borderId="4" xfId="15" applyNumberFormat="1" applyFont="1" applyFill="1" applyBorder="1" applyAlignment="1">
      <alignment horizontal="center"/>
    </xf>
    <xf numFmtId="180" fontId="6" fillId="0" borderId="4" xfId="15" applyNumberFormat="1" applyFont="1" applyFill="1" applyBorder="1" applyAlignment="1" quotePrefix="1">
      <alignment horizontal="center"/>
    </xf>
    <xf numFmtId="180" fontId="6" fillId="0" borderId="7" xfId="15" applyNumberFormat="1" applyFont="1" applyFill="1" applyBorder="1" applyAlignment="1">
      <alignment horizontal="center"/>
    </xf>
    <xf numFmtId="180" fontId="6" fillId="0" borderId="3" xfId="15" applyNumberFormat="1" applyFont="1" applyFill="1" applyBorder="1" applyAlignment="1">
      <alignment horizontal="center"/>
    </xf>
    <xf numFmtId="37" fontId="5" fillId="0" borderId="8" xfId="0" applyFont="1" applyFill="1" applyBorder="1" applyAlignment="1">
      <alignment/>
    </xf>
    <xf numFmtId="180" fontId="5" fillId="0" borderId="7" xfId="15" applyNumberFormat="1" applyFont="1" applyFill="1" applyBorder="1" applyAlignment="1">
      <alignment/>
    </xf>
    <xf numFmtId="43" fontId="5" fillId="0" borderId="0" xfId="0" applyNumberFormat="1" applyFont="1" applyFill="1" applyAlignment="1">
      <alignment/>
    </xf>
    <xf numFmtId="180" fontId="5" fillId="0" borderId="3" xfId="0" applyNumberFormat="1" applyFont="1" applyFill="1" applyBorder="1" applyAlignment="1">
      <alignment/>
    </xf>
    <xf numFmtId="37" fontId="5" fillId="0" borderId="4" xfId="0" applyFont="1" applyFill="1" applyBorder="1" applyAlignment="1">
      <alignment/>
    </xf>
    <xf numFmtId="180" fontId="5" fillId="0" borderId="7" xfId="0" applyNumberFormat="1" applyFont="1" applyFill="1" applyBorder="1" applyAlignment="1">
      <alignment/>
    </xf>
    <xf numFmtId="37" fontId="5" fillId="0" borderId="3" xfId="0" applyFont="1" applyFill="1" applyBorder="1" applyAlignment="1">
      <alignment/>
    </xf>
    <xf numFmtId="38" fontId="8" fillId="0" borderId="0" xfId="0" applyNumberFormat="1" applyFont="1" applyAlignment="1">
      <alignment/>
    </xf>
    <xf numFmtId="38" fontId="9" fillId="0" borderId="0" xfId="0" applyNumberFormat="1" applyFont="1" applyAlignment="1">
      <alignment/>
    </xf>
    <xf numFmtId="37" fontId="9" fillId="0" borderId="0" xfId="0" applyNumberFormat="1" applyFont="1" applyAlignment="1">
      <alignment/>
    </xf>
    <xf numFmtId="38" fontId="9" fillId="0" borderId="0" xfId="0" applyNumberFormat="1" applyFont="1" applyBorder="1" applyAlignment="1">
      <alignment/>
    </xf>
    <xf numFmtId="38" fontId="8" fillId="0" borderId="0" xfId="0" applyNumberFormat="1" applyFont="1" applyAlignment="1">
      <alignment horizontal="left"/>
    </xf>
    <xf numFmtId="38" fontId="9" fillId="0" borderId="0" xfId="0" applyNumberFormat="1" applyFont="1" applyAlignment="1">
      <alignment horizontal="center"/>
    </xf>
    <xf numFmtId="37" fontId="8" fillId="0" borderId="0" xfId="0" applyNumberFormat="1" applyFont="1" applyAlignment="1">
      <alignment horizontal="center"/>
    </xf>
    <xf numFmtId="38" fontId="9" fillId="0" borderId="0" xfId="0" applyNumberFormat="1" applyFont="1" applyBorder="1" applyAlignment="1">
      <alignment horizontal="center"/>
    </xf>
    <xf numFmtId="38" fontId="8" fillId="0" borderId="0" xfId="0" applyNumberFormat="1" applyFont="1" applyAlignment="1">
      <alignment horizontal="center"/>
    </xf>
    <xf numFmtId="37" fontId="9" fillId="0" borderId="0" xfId="0" applyNumberFormat="1" applyFont="1" applyBorder="1" applyAlignment="1">
      <alignment horizontal="center"/>
    </xf>
    <xf numFmtId="37" fontId="9" fillId="0" borderId="0" xfId="0" applyNumberFormat="1" applyFont="1" applyBorder="1" applyAlignment="1">
      <alignment/>
    </xf>
    <xf numFmtId="43" fontId="9" fillId="0" borderId="0" xfId="15" applyFont="1" applyBorder="1" applyAlignment="1">
      <alignment/>
    </xf>
    <xf numFmtId="37" fontId="9" fillId="0" borderId="1" xfId="0" applyNumberFormat="1" applyFont="1" applyBorder="1" applyAlignment="1">
      <alignment/>
    </xf>
    <xf numFmtId="37" fontId="9" fillId="0" borderId="2" xfId="0" applyNumberFormat="1" applyFont="1" applyBorder="1" applyAlignment="1">
      <alignment/>
    </xf>
    <xf numFmtId="38" fontId="8" fillId="0" borderId="0" xfId="0" applyNumberFormat="1" applyFont="1" applyBorder="1" applyAlignment="1">
      <alignment/>
    </xf>
    <xf numFmtId="37" fontId="6" fillId="0" borderId="0" xfId="0" applyFont="1" applyAlignment="1">
      <alignment horizontal="center"/>
    </xf>
    <xf numFmtId="180" fontId="6" fillId="0" borderId="0" xfId="15" applyNumberFormat="1" applyFont="1" applyAlignment="1">
      <alignment horizontal="center"/>
    </xf>
    <xf numFmtId="180" fontId="6" fillId="0" borderId="0" xfId="15" applyNumberFormat="1" applyFont="1" applyAlignment="1">
      <alignment/>
    </xf>
    <xf numFmtId="37" fontId="6" fillId="0" borderId="0" xfId="0" applyFont="1" applyAlignment="1">
      <alignment/>
    </xf>
    <xf numFmtId="37" fontId="5" fillId="0" borderId="0" xfId="0" applyFont="1" applyAlignment="1">
      <alignment horizontal="center"/>
    </xf>
    <xf numFmtId="180" fontId="5" fillId="0" borderId="0" xfId="15" applyNumberFormat="1" applyFont="1" applyAlignment="1">
      <alignment horizontal="center"/>
    </xf>
    <xf numFmtId="180" fontId="5" fillId="0" borderId="0" xfId="15" applyNumberFormat="1" applyFont="1" applyAlignment="1">
      <alignment/>
    </xf>
    <xf numFmtId="180" fontId="5" fillId="0" borderId="1" xfId="15" applyNumberFormat="1" applyFont="1" applyBorder="1" applyAlignment="1">
      <alignment/>
    </xf>
    <xf numFmtId="180" fontId="5" fillId="0" borderId="0" xfId="15" applyNumberFormat="1" applyFont="1" applyBorder="1" applyAlignment="1">
      <alignment horizontal="center"/>
    </xf>
    <xf numFmtId="180" fontId="5" fillId="0" borderId="0" xfId="15" applyNumberFormat="1" applyFont="1" applyBorder="1" applyAlignment="1">
      <alignment/>
    </xf>
    <xf numFmtId="37" fontId="10" fillId="0" borderId="0" xfId="0" applyFont="1" applyAlignment="1">
      <alignment/>
    </xf>
    <xf numFmtId="37" fontId="11" fillId="0" borderId="0" xfId="0" applyFont="1" applyAlignment="1">
      <alignment horizontal="center"/>
    </xf>
    <xf numFmtId="37" fontId="4" fillId="0" borderId="0" xfId="0" applyFont="1" applyAlignment="1" quotePrefix="1">
      <alignment/>
    </xf>
    <xf numFmtId="180" fontId="5" fillId="0" borderId="1" xfId="15" applyNumberFormat="1" applyFont="1" applyBorder="1" applyAlignment="1">
      <alignment horizontal="center"/>
    </xf>
    <xf numFmtId="37" fontId="10" fillId="0" borderId="1" xfId="0" applyFont="1" applyBorder="1" applyAlignment="1">
      <alignment/>
    </xf>
    <xf numFmtId="15" fontId="4" fillId="0" borderId="0" xfId="0" applyNumberFormat="1" applyFont="1" applyAlignment="1" quotePrefix="1">
      <alignment/>
    </xf>
    <xf numFmtId="1" fontId="5" fillId="0" borderId="0" xfId="0" applyNumberFormat="1" applyFont="1" applyAlignment="1">
      <alignment/>
    </xf>
    <xf numFmtId="180" fontId="10" fillId="0" borderId="0" xfId="15" applyNumberFormat="1" applyFont="1" applyAlignment="1">
      <alignment/>
    </xf>
    <xf numFmtId="37" fontId="5" fillId="0" borderId="0" xfId="0" applyFont="1" applyAlignment="1">
      <alignment vertical="top" wrapText="1"/>
    </xf>
    <xf numFmtId="180" fontId="10" fillId="0" borderId="1" xfId="15" applyNumberFormat="1" applyFont="1" applyBorder="1" applyAlignment="1">
      <alignment/>
    </xf>
    <xf numFmtId="180" fontId="6" fillId="0" borderId="1" xfId="15" applyNumberFormat="1" applyFont="1" applyBorder="1" applyAlignment="1">
      <alignment/>
    </xf>
    <xf numFmtId="37" fontId="5" fillId="0" borderId="0" xfId="0" applyFont="1" applyBorder="1" applyAlignment="1">
      <alignment/>
    </xf>
    <xf numFmtId="37" fontId="5" fillId="0" borderId="0" xfId="0" applyFont="1" applyAlignment="1" quotePrefix="1">
      <alignment/>
    </xf>
    <xf numFmtId="180" fontId="5" fillId="0" borderId="9" xfId="15" applyNumberFormat="1" applyFont="1" applyFill="1" applyBorder="1" applyAlignment="1">
      <alignment/>
    </xf>
    <xf numFmtId="180" fontId="12" fillId="0" borderId="0" xfId="15" applyNumberFormat="1" applyFont="1" applyFill="1" applyAlignment="1">
      <alignment horizontal="right"/>
    </xf>
    <xf numFmtId="180" fontId="12" fillId="0" borderId="0" xfId="15" applyNumberFormat="1" applyFont="1" applyAlignment="1">
      <alignment/>
    </xf>
    <xf numFmtId="37" fontId="13" fillId="0" borderId="0" xfId="0" applyFont="1" applyFill="1" applyAlignment="1">
      <alignment horizontal="right"/>
    </xf>
    <xf numFmtId="37" fontId="12" fillId="0" borderId="0" xfId="0" applyNumberFormat="1" applyFont="1" applyAlignment="1">
      <alignment/>
    </xf>
    <xf numFmtId="180" fontId="5" fillId="0" borderId="0" xfId="15" applyNumberFormat="1" applyFont="1" applyAlignment="1">
      <alignment horizontal="right"/>
    </xf>
    <xf numFmtId="180" fontId="5" fillId="0" borderId="2" xfId="15" applyNumberFormat="1" applyFont="1" applyBorder="1" applyAlignment="1">
      <alignment horizontal="right"/>
    </xf>
    <xf numFmtId="180" fontId="5" fillId="0" borderId="1" xfId="15" applyNumberFormat="1" applyFont="1" applyBorder="1" applyAlignment="1">
      <alignment horizontal="right"/>
    </xf>
    <xf numFmtId="180" fontId="5" fillId="0" borderId="0" xfId="15" applyNumberFormat="1" applyFont="1" applyBorder="1" applyAlignment="1">
      <alignment horizontal="right"/>
    </xf>
    <xf numFmtId="180" fontId="5" fillId="0" borderId="9" xfId="15" applyNumberFormat="1" applyFont="1" applyBorder="1" applyAlignment="1">
      <alignment horizontal="right"/>
    </xf>
    <xf numFmtId="180" fontId="5" fillId="0" borderId="0" xfId="15" applyNumberFormat="1" applyFont="1" applyFill="1" applyAlignment="1">
      <alignment horizontal="right"/>
    </xf>
    <xf numFmtId="180" fontId="5" fillId="0" borderId="10" xfId="15" applyNumberFormat="1" applyFont="1" applyBorder="1" applyAlignment="1">
      <alignment horizontal="right"/>
    </xf>
    <xf numFmtId="37" fontId="5" fillId="0" borderId="0" xfId="0" applyFont="1" applyAlignment="1">
      <alignment horizontal="right"/>
    </xf>
    <xf numFmtId="206" fontId="6" fillId="0" borderId="0" xfId="0" applyNumberFormat="1" applyFont="1" applyFill="1" applyAlignment="1">
      <alignment horizontal="center"/>
    </xf>
    <xf numFmtId="206" fontId="6" fillId="0" borderId="0" xfId="0" applyNumberFormat="1" applyFont="1" applyFill="1" applyAlignment="1">
      <alignment/>
    </xf>
    <xf numFmtId="206" fontId="6" fillId="0" borderId="1" xfId="0" applyNumberFormat="1" applyFont="1" applyFill="1" applyBorder="1" applyAlignment="1">
      <alignment horizontal="center"/>
    </xf>
    <xf numFmtId="206" fontId="6" fillId="0" borderId="0" xfId="0" applyNumberFormat="1" applyFont="1" applyFill="1" applyBorder="1" applyAlignment="1">
      <alignment horizontal="center"/>
    </xf>
    <xf numFmtId="206" fontId="5" fillId="0" borderId="0" xfId="0" applyNumberFormat="1" applyFont="1" applyFill="1" applyAlignment="1">
      <alignment/>
    </xf>
    <xf numFmtId="37" fontId="5" fillId="0" borderId="7" xfId="0" applyFont="1" applyFill="1" applyBorder="1" applyAlignment="1">
      <alignment/>
    </xf>
    <xf numFmtId="43" fontId="5" fillId="0" borderId="4" xfId="15" applyFont="1" applyFill="1" applyBorder="1" applyAlignment="1">
      <alignment/>
    </xf>
    <xf numFmtId="39" fontId="5" fillId="0" borderId="0" xfId="0" applyNumberFormat="1" applyFont="1" applyFill="1" applyAlignment="1">
      <alignment/>
    </xf>
    <xf numFmtId="180" fontId="5" fillId="0" borderId="4" xfId="0" applyNumberFormat="1" applyFont="1" applyFill="1" applyBorder="1" applyAlignment="1">
      <alignment/>
    </xf>
    <xf numFmtId="39" fontId="5" fillId="0" borderId="4" xfId="15" applyNumberFormat="1" applyFont="1" applyFill="1" applyBorder="1" applyAlignment="1">
      <alignment/>
    </xf>
    <xf numFmtId="38" fontId="5" fillId="0" borderId="0" xfId="0" applyNumberFormat="1" applyFont="1" applyAlignment="1">
      <alignment/>
    </xf>
    <xf numFmtId="37" fontId="14" fillId="0" borderId="0" xfId="0" applyFont="1" applyFill="1" applyAlignment="1">
      <alignment horizontal="right"/>
    </xf>
    <xf numFmtId="39" fontId="5" fillId="0" borderId="4" xfId="0" applyNumberFormat="1" applyFont="1" applyFill="1" applyBorder="1" applyAlignment="1">
      <alignment horizontal="right"/>
    </xf>
    <xf numFmtId="180" fontId="9" fillId="0" borderId="0" xfId="15" applyNumberFormat="1" applyFont="1" applyFill="1" applyAlignment="1">
      <alignment/>
    </xf>
    <xf numFmtId="180" fontId="9" fillId="0" borderId="1" xfId="15" applyNumberFormat="1" applyFont="1" applyFill="1" applyBorder="1" applyAlignment="1">
      <alignment/>
    </xf>
    <xf numFmtId="180" fontId="9" fillId="0" borderId="11" xfId="15" applyNumberFormat="1" applyFont="1" applyFill="1" applyBorder="1" applyAlignment="1">
      <alignment/>
    </xf>
    <xf numFmtId="180" fontId="9" fillId="0" borderId="0" xfId="15" applyNumberFormat="1" applyFont="1" applyFill="1" applyBorder="1" applyAlignment="1">
      <alignment/>
    </xf>
    <xf numFmtId="180" fontId="9" fillId="0" borderId="12" xfId="15" applyNumberFormat="1" applyFont="1" applyFill="1" applyBorder="1" applyAlignment="1">
      <alignment/>
    </xf>
    <xf numFmtId="37" fontId="16" fillId="0" borderId="0" xfId="0" applyFont="1" applyFill="1" applyAlignment="1">
      <alignment/>
    </xf>
    <xf numFmtId="43" fontId="15" fillId="0" borderId="0" xfId="15" applyFont="1" applyAlignment="1">
      <alignment/>
    </xf>
    <xf numFmtId="180" fontId="17" fillId="0" borderId="0" xfId="15" applyNumberFormat="1" applyFont="1" applyFill="1" applyAlignment="1">
      <alignment horizontal="right"/>
    </xf>
    <xf numFmtId="43" fontId="12" fillId="0" borderId="0" xfId="15" applyFont="1" applyAlignment="1">
      <alignment/>
    </xf>
    <xf numFmtId="180" fontId="6" fillId="0" borderId="0" xfId="15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50</xdr:row>
      <xdr:rowOff>0</xdr:rowOff>
    </xdr:from>
    <xdr:to>
      <xdr:col>7</xdr:col>
      <xdr:colOff>228600</xdr:colOff>
      <xdr:row>52</xdr:row>
      <xdr:rowOff>180975</xdr:rowOff>
    </xdr:to>
    <xdr:sp>
      <xdr:nvSpPr>
        <xdr:cNvPr id="1" name="TextBox 3"/>
        <xdr:cNvSpPr txBox="1">
          <a:spLocks noChangeArrowheads="1"/>
        </xdr:cNvSpPr>
      </xdr:nvSpPr>
      <xdr:spPr>
        <a:xfrm>
          <a:off x="142875" y="7753350"/>
          <a:ext cx="942975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200" b="0" i="0" u="none" baseline="0">
              <a:latin typeface="TimesNewRomanPS"/>
              <a:ea typeface="TimesNewRomanPS"/>
              <a:cs typeface="TimesNewRomanPS"/>
            </a:rPr>
            <a:t>For the current quarter, a provision has been made for the slow-moving building stocks amounting to RM 28,000,000. This provision has reduced the current quarter earnings into a net loss of RM 19,092,000.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3</xdr:row>
      <xdr:rowOff>152400</xdr:rowOff>
    </xdr:from>
    <xdr:to>
      <xdr:col>5</xdr:col>
      <xdr:colOff>0</xdr:colOff>
      <xdr:row>5</xdr:row>
      <xdr:rowOff>0</xdr:rowOff>
    </xdr:to>
    <xdr:sp>
      <xdr:nvSpPr>
        <xdr:cNvPr id="1" name="Line 5"/>
        <xdr:cNvSpPr>
          <a:spLocks/>
        </xdr:cNvSpPr>
      </xdr:nvSpPr>
      <xdr:spPr>
        <a:xfrm>
          <a:off x="5772150" y="63817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NewRomanPS"/>
              <a:ea typeface="TimesNewRomanPS"/>
              <a:cs typeface="TimesNewRomanPS"/>
            </a:rPr>
            <a:t/>
          </a:r>
        </a:p>
      </xdr:txBody>
    </xdr:sp>
    <xdr:clientData/>
  </xdr:twoCellAnchor>
  <xdr:twoCellAnchor>
    <xdr:from>
      <xdr:col>9</xdr:col>
      <xdr:colOff>0</xdr:colOff>
      <xdr:row>4</xdr:row>
      <xdr:rowOff>0</xdr:rowOff>
    </xdr:from>
    <xdr:to>
      <xdr:col>9</xdr:col>
      <xdr:colOff>0</xdr:colOff>
      <xdr:row>5</xdr:row>
      <xdr:rowOff>9525</xdr:rowOff>
    </xdr:to>
    <xdr:sp>
      <xdr:nvSpPr>
        <xdr:cNvPr id="2" name="Line 6"/>
        <xdr:cNvSpPr>
          <a:spLocks/>
        </xdr:cNvSpPr>
      </xdr:nvSpPr>
      <xdr:spPr>
        <a:xfrm>
          <a:off x="9810750" y="6477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NewRomanPS"/>
              <a:ea typeface="TimesNewRomanPS"/>
              <a:cs typeface="TimesNewRomanPS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Book4.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y%20Documents\2004\Q32004\Book4.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urther adj 2"/>
      <sheetName val="BS"/>
      <sheetName val="equity"/>
      <sheetName val="CF working"/>
      <sheetName val="Tam EBITDA"/>
      <sheetName val="GP by proj"/>
      <sheetName val="seg"/>
      <sheetName val="Consol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urther adj 2"/>
      <sheetName val="BS"/>
      <sheetName val="IS"/>
      <sheetName val="CF Condensed"/>
      <sheetName val="CF working"/>
      <sheetName val="Tam EBITDA"/>
      <sheetName val="GP by proj"/>
      <sheetName val="seg"/>
      <sheetName val="Conso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8"/>
  <sheetViews>
    <sheetView tabSelected="1" workbookViewId="0" topLeftCell="A1">
      <selection activeCell="E7" sqref="E7"/>
    </sheetView>
  </sheetViews>
  <sheetFormatPr defaultColWidth="8.796875" defaultRowHeight="15"/>
  <cols>
    <col min="1" max="1" width="1.4921875" style="2" customWidth="1"/>
    <col min="2" max="2" width="2.59765625" style="2" customWidth="1"/>
    <col min="3" max="3" width="9.69921875" style="2" customWidth="1"/>
    <col min="4" max="4" width="9.19921875" style="2" customWidth="1"/>
    <col min="5" max="5" width="21.19921875" style="2" customWidth="1"/>
    <col min="6" max="6" width="12.59765625" style="2" customWidth="1"/>
    <col min="7" max="7" width="2.3984375" style="2" customWidth="1"/>
    <col min="8" max="8" width="12.59765625" style="2" customWidth="1"/>
    <col min="9" max="9" width="2.09765625" style="2" customWidth="1"/>
    <col min="10" max="16384" width="9" style="2" customWidth="1"/>
  </cols>
  <sheetData>
    <row r="1" spans="1:8" ht="12.75">
      <c r="A1" s="1" t="s">
        <v>0</v>
      </c>
      <c r="H1" s="3"/>
    </row>
    <row r="2" ht="12.75">
      <c r="H2" s="96"/>
    </row>
    <row r="3" spans="2:9" ht="12.75">
      <c r="B3" s="1" t="s">
        <v>1</v>
      </c>
      <c r="C3" s="3"/>
      <c r="D3" s="3"/>
      <c r="E3" s="3"/>
      <c r="F3" s="3"/>
      <c r="G3" s="3"/>
      <c r="H3" s="75"/>
      <c r="I3" s="3"/>
    </row>
    <row r="4" spans="2:9" ht="12.75">
      <c r="B4" s="1" t="s">
        <v>157</v>
      </c>
      <c r="C4" s="3"/>
      <c r="D4" s="3"/>
      <c r="E4" s="3"/>
      <c r="F4" s="4" t="s">
        <v>2</v>
      </c>
      <c r="H4" s="4" t="s">
        <v>3</v>
      </c>
      <c r="I4" s="3"/>
    </row>
    <row r="5" spans="1:9" ht="12.75">
      <c r="A5" s="3"/>
      <c r="B5" s="3"/>
      <c r="C5" s="3"/>
      <c r="D5" s="3"/>
      <c r="E5" s="3"/>
      <c r="F5" s="4" t="s">
        <v>4</v>
      </c>
      <c r="G5" s="4"/>
      <c r="H5" s="4" t="s">
        <v>5</v>
      </c>
      <c r="I5" s="3"/>
    </row>
    <row r="6" spans="1:9" ht="12.75">
      <c r="A6" s="3"/>
      <c r="B6" s="3"/>
      <c r="C6" s="3"/>
      <c r="D6" s="3"/>
      <c r="E6" s="3"/>
      <c r="F6" s="4" t="s">
        <v>6</v>
      </c>
      <c r="G6" s="4"/>
      <c r="H6" s="4" t="s">
        <v>7</v>
      </c>
      <c r="I6" s="3"/>
    </row>
    <row r="7" spans="1:9" ht="12.75">
      <c r="A7" s="3"/>
      <c r="B7" s="3"/>
      <c r="C7" s="3"/>
      <c r="D7" s="3"/>
      <c r="E7" s="3"/>
      <c r="G7" s="4"/>
      <c r="H7" s="4" t="s">
        <v>8</v>
      </c>
      <c r="I7" s="3"/>
    </row>
    <row r="8" spans="1:9" ht="12.75">
      <c r="A8" s="4"/>
      <c r="B8" s="3"/>
      <c r="C8" s="3"/>
      <c r="D8" s="3"/>
      <c r="E8" s="3"/>
      <c r="G8" s="4"/>
      <c r="H8" s="4" t="s">
        <v>9</v>
      </c>
      <c r="I8" s="3"/>
    </row>
    <row r="9" spans="1:9" s="89" customFormat="1" ht="12.75">
      <c r="A9" s="85"/>
      <c r="B9" s="86"/>
      <c r="C9" s="86"/>
      <c r="D9" s="86"/>
      <c r="E9" s="86"/>
      <c r="F9" s="87">
        <v>38472</v>
      </c>
      <c r="G9" s="88"/>
      <c r="H9" s="87">
        <v>38383</v>
      </c>
      <c r="I9" s="86"/>
    </row>
    <row r="10" spans="1:9" ht="12.75">
      <c r="A10" s="4"/>
      <c r="B10" s="3"/>
      <c r="C10" s="3"/>
      <c r="D10" s="3"/>
      <c r="E10" s="3"/>
      <c r="F10" s="4" t="s">
        <v>10</v>
      </c>
      <c r="G10" s="4"/>
      <c r="H10" s="4" t="s">
        <v>10</v>
      </c>
      <c r="I10" s="3"/>
    </row>
    <row r="11" spans="1:2" ht="12.75">
      <c r="A11" s="5"/>
      <c r="B11" s="3"/>
    </row>
    <row r="12" ht="12.75">
      <c r="A12" s="5"/>
    </row>
    <row r="13" spans="1:9" ht="12.75">
      <c r="A13" s="5"/>
      <c r="B13" s="2" t="s">
        <v>11</v>
      </c>
      <c r="F13" s="6">
        <f>250448</f>
        <v>250448</v>
      </c>
      <c r="G13" s="6"/>
      <c r="H13" s="6">
        <f>252852</f>
        <v>252852</v>
      </c>
      <c r="I13" s="7"/>
    </row>
    <row r="14" spans="1:8" ht="12.75">
      <c r="A14" s="5"/>
      <c r="B14" s="2" t="s">
        <v>12</v>
      </c>
      <c r="F14" s="6">
        <f>971596</f>
        <v>971596</v>
      </c>
      <c r="G14" s="6"/>
      <c r="H14" s="6">
        <f>971596</f>
        <v>971596</v>
      </c>
    </row>
    <row r="15" spans="1:8" ht="12.75">
      <c r="A15" s="5"/>
      <c r="B15" s="2" t="s">
        <v>13</v>
      </c>
      <c r="F15" s="6">
        <f>162329</f>
        <v>162329</v>
      </c>
      <c r="G15" s="6"/>
      <c r="H15" s="6">
        <f>162454</f>
        <v>162454</v>
      </c>
    </row>
    <row r="16" spans="1:8" ht="12.75">
      <c r="A16" s="5"/>
      <c r="B16" s="10" t="s">
        <v>16</v>
      </c>
      <c r="F16" s="6">
        <f>76332</f>
        <v>76332</v>
      </c>
      <c r="G16" s="6"/>
      <c r="H16" s="6">
        <f>76332</f>
        <v>76332</v>
      </c>
    </row>
    <row r="17" spans="1:8" ht="12.75">
      <c r="A17" s="5"/>
      <c r="B17" s="2" t="s">
        <v>15</v>
      </c>
      <c r="F17" s="6">
        <f>23764</f>
        <v>23764</v>
      </c>
      <c r="G17" s="6"/>
      <c r="H17" s="6">
        <f>21833</f>
        <v>21833</v>
      </c>
    </row>
    <row r="18" spans="1:8" ht="12.75">
      <c r="A18" s="5"/>
      <c r="B18" s="2" t="s">
        <v>130</v>
      </c>
      <c r="F18" s="6">
        <f>5801+7840</f>
        <v>13641</v>
      </c>
      <c r="G18" s="6"/>
      <c r="H18" s="6">
        <f>5801</f>
        <v>5801</v>
      </c>
    </row>
    <row r="19" spans="1:8" ht="12.75">
      <c r="A19" s="5"/>
      <c r="B19" s="2" t="s">
        <v>14</v>
      </c>
      <c r="F19" s="6">
        <f>781</f>
        <v>781</v>
      </c>
      <c r="G19" s="9"/>
      <c r="H19" s="9">
        <f>819</f>
        <v>819</v>
      </c>
    </row>
    <row r="20" spans="1:8" ht="12.75">
      <c r="A20" s="5"/>
      <c r="F20" s="12">
        <f>SUM(F13:F19)</f>
        <v>1498891</v>
      </c>
      <c r="G20" s="6"/>
      <c r="H20" s="12">
        <f>SUM(H13:H19)</f>
        <v>1491687</v>
      </c>
    </row>
    <row r="21" spans="1:8" ht="12.75">
      <c r="A21" s="5"/>
      <c r="F21" s="6"/>
      <c r="G21" s="6"/>
      <c r="H21" s="6"/>
    </row>
    <row r="22" spans="1:8" ht="12.75">
      <c r="A22" s="5"/>
      <c r="B22" s="2" t="s">
        <v>17</v>
      </c>
      <c r="F22" s="6"/>
      <c r="G22" s="6"/>
      <c r="H22" s="6"/>
    </row>
    <row r="23" spans="1:10" ht="12.75">
      <c r="A23" s="5"/>
      <c r="B23" s="3"/>
      <c r="C23" s="2" t="s">
        <v>131</v>
      </c>
      <c r="E23" s="2" t="s">
        <v>18</v>
      </c>
      <c r="F23" s="13">
        <f>1648076</f>
        <v>1648076</v>
      </c>
      <c r="G23" s="6"/>
      <c r="H23" s="13">
        <f>1907323</f>
        <v>1907323</v>
      </c>
      <c r="J23" s="2" t="s">
        <v>18</v>
      </c>
    </row>
    <row r="24" spans="1:8" ht="12.75">
      <c r="A24" s="5"/>
      <c r="B24" s="3"/>
      <c r="C24" s="2" t="s">
        <v>19</v>
      </c>
      <c r="F24" s="14">
        <f>80163-28000</f>
        <v>52163</v>
      </c>
      <c r="G24" s="6"/>
      <c r="H24" s="14">
        <f>80163</f>
        <v>80163</v>
      </c>
    </row>
    <row r="25" spans="1:10" ht="12.75">
      <c r="A25" s="5"/>
      <c r="B25" s="3"/>
      <c r="C25" s="2" t="s">
        <v>132</v>
      </c>
      <c r="F25" s="14">
        <f>357465</f>
        <v>357465</v>
      </c>
      <c r="G25" s="6"/>
      <c r="H25" s="14">
        <f>80516+196713</f>
        <v>277229</v>
      </c>
      <c r="J25" s="7"/>
    </row>
    <row r="26" spans="1:8" ht="12.75">
      <c r="A26" s="5"/>
      <c r="C26" s="2" t="s">
        <v>133</v>
      </c>
      <c r="F26" s="14">
        <f>200665</f>
        <v>200665</v>
      </c>
      <c r="G26" s="6"/>
      <c r="H26" s="14">
        <f>202615</f>
        <v>202615</v>
      </c>
    </row>
    <row r="27" spans="1:10" ht="12.75">
      <c r="A27" s="5"/>
      <c r="C27" s="2" t="s">
        <v>20</v>
      </c>
      <c r="E27" s="7"/>
      <c r="F27" s="15">
        <f>SUM(F23:F26)</f>
        <v>2258369</v>
      </c>
      <c r="G27" s="9"/>
      <c r="H27" s="15">
        <f>SUM(H23:H26)</f>
        <v>2467330</v>
      </c>
      <c r="I27" s="7"/>
      <c r="J27" s="7"/>
    </row>
    <row r="28" spans="1:8" ht="12.75">
      <c r="A28" s="5"/>
      <c r="F28" s="13"/>
      <c r="G28" s="6"/>
      <c r="H28" s="13"/>
    </row>
    <row r="29" spans="1:8" ht="12.75">
      <c r="A29" s="5"/>
      <c r="B29" s="2" t="s">
        <v>21</v>
      </c>
      <c r="F29" s="14"/>
      <c r="G29" s="6"/>
      <c r="H29" s="14"/>
    </row>
    <row r="30" spans="1:8" ht="12.75">
      <c r="A30" s="5"/>
      <c r="C30" s="2" t="s">
        <v>134</v>
      </c>
      <c r="F30" s="14">
        <f>99930</f>
        <v>99930</v>
      </c>
      <c r="G30" s="6"/>
      <c r="H30" s="14">
        <f>99930</f>
        <v>99930</v>
      </c>
    </row>
    <row r="31" spans="1:8" ht="12.75">
      <c r="A31" s="5"/>
      <c r="C31" s="2" t="s">
        <v>22</v>
      </c>
      <c r="F31" s="14">
        <f>373394</f>
        <v>373394</v>
      </c>
      <c r="G31" s="6"/>
      <c r="H31" s="14">
        <f>333450</f>
        <v>333450</v>
      </c>
    </row>
    <row r="32" spans="1:8" ht="12.75">
      <c r="A32" s="5"/>
      <c r="C32" s="2" t="s">
        <v>135</v>
      </c>
      <c r="F32" s="14">
        <f>661273-750</f>
        <v>660523</v>
      </c>
      <c r="G32" s="6"/>
      <c r="H32" s="14">
        <f>349055+535306</f>
        <v>884361</v>
      </c>
    </row>
    <row r="33" spans="1:8" ht="12.75">
      <c r="A33" s="5"/>
      <c r="C33" s="2" t="s">
        <v>140</v>
      </c>
      <c r="F33" s="14">
        <f>376141</f>
        <v>376141</v>
      </c>
      <c r="G33" s="6"/>
      <c r="H33" s="14">
        <f>349231</f>
        <v>349231</v>
      </c>
    </row>
    <row r="34" spans="1:8" ht="12.75">
      <c r="A34" s="5"/>
      <c r="C34" s="2" t="s">
        <v>23</v>
      </c>
      <c r="F34" s="14">
        <f>214982</f>
        <v>214982</v>
      </c>
      <c r="G34" s="6"/>
      <c r="H34" s="14">
        <f>214808</f>
        <v>214808</v>
      </c>
    </row>
    <row r="35" spans="1:8" ht="12.75">
      <c r="A35" s="5"/>
      <c r="C35" s="2" t="s">
        <v>24</v>
      </c>
      <c r="F35" s="15">
        <f>SUM(F30:F34)</f>
        <v>1724970</v>
      </c>
      <c r="G35" s="9"/>
      <c r="H35" s="15">
        <f>SUM(H30:H34)</f>
        <v>1881780</v>
      </c>
    </row>
    <row r="36" spans="1:8" ht="12.75">
      <c r="A36" s="5"/>
      <c r="F36" s="9"/>
      <c r="G36" s="9"/>
      <c r="H36" s="9"/>
    </row>
    <row r="37" spans="1:8" ht="12.75">
      <c r="A37" s="5"/>
      <c r="B37" s="2" t="s">
        <v>25</v>
      </c>
      <c r="C37" s="3"/>
      <c r="D37" s="3"/>
      <c r="F37" s="6">
        <f>F27-F35</f>
        <v>533399</v>
      </c>
      <c r="G37" s="9"/>
      <c r="H37" s="6">
        <f>H27-H35</f>
        <v>585550</v>
      </c>
    </row>
    <row r="38" spans="1:8" ht="12.75">
      <c r="A38" s="5"/>
      <c r="B38" s="3"/>
      <c r="C38" s="3"/>
      <c r="D38" s="3"/>
      <c r="F38" s="6"/>
      <c r="G38" s="9"/>
      <c r="H38" s="6"/>
    </row>
    <row r="39" spans="1:8" ht="13.5" thickBot="1">
      <c r="A39" s="5"/>
      <c r="B39" s="2" t="s">
        <v>26</v>
      </c>
      <c r="F39" s="72">
        <f>+F20+F37</f>
        <v>2032290</v>
      </c>
      <c r="G39" s="9"/>
      <c r="H39" s="72">
        <f>+H20+H37</f>
        <v>2077237</v>
      </c>
    </row>
    <row r="40" spans="1:8" ht="12.75">
      <c r="A40" s="5"/>
      <c r="F40" s="6"/>
      <c r="G40" s="6"/>
      <c r="H40" s="6"/>
    </row>
    <row r="41" spans="1:8" ht="12.75">
      <c r="A41" s="5"/>
      <c r="F41" s="6"/>
      <c r="G41" s="6"/>
      <c r="H41" s="6"/>
    </row>
    <row r="42" spans="1:8" ht="12.75">
      <c r="A42" s="5"/>
      <c r="B42" s="2" t="s">
        <v>27</v>
      </c>
      <c r="F42" s="6"/>
      <c r="G42" s="6"/>
      <c r="H42" s="6"/>
    </row>
    <row r="43" spans="1:8" ht="12.75">
      <c r="A43" s="5"/>
      <c r="F43" s="6"/>
      <c r="G43" s="6"/>
      <c r="H43" s="6"/>
    </row>
    <row r="44" spans="1:8" ht="12.75">
      <c r="A44" s="5"/>
      <c r="B44" s="2" t="s">
        <v>136</v>
      </c>
      <c r="F44" s="6">
        <f>623520</f>
        <v>623520</v>
      </c>
      <c r="G44" s="6"/>
      <c r="H44" s="6">
        <f>619868</f>
        <v>619868</v>
      </c>
    </row>
    <row r="45" spans="1:8" ht="12.75">
      <c r="A45" s="5"/>
      <c r="B45" s="2" t="s">
        <v>137</v>
      </c>
      <c r="F45" s="6">
        <f>-844</f>
        <v>-844</v>
      </c>
      <c r="G45" s="6"/>
      <c r="H45" s="6">
        <v>0</v>
      </c>
    </row>
    <row r="46" spans="1:8" ht="12.75">
      <c r="A46" s="5"/>
      <c r="B46" s="2" t="s">
        <v>28</v>
      </c>
      <c r="F46" s="11">
        <f>460641+750-28000+7840</f>
        <v>441231</v>
      </c>
      <c r="G46" s="6"/>
      <c r="H46" s="11">
        <f>461706</f>
        <v>461706</v>
      </c>
    </row>
    <row r="47" spans="1:8" ht="12.75">
      <c r="A47" s="5"/>
      <c r="B47" s="2" t="s">
        <v>143</v>
      </c>
      <c r="E47" s="7"/>
      <c r="F47" s="6">
        <f>SUM(F44:F46)</f>
        <v>1063907</v>
      </c>
      <c r="G47" s="6"/>
      <c r="H47" s="6">
        <f>SUM(H44:H46)</f>
        <v>1081574</v>
      </c>
    </row>
    <row r="48" spans="1:8" ht="12.75">
      <c r="A48" s="5"/>
      <c r="E48" s="7"/>
      <c r="F48" s="6"/>
      <c r="G48" s="6"/>
      <c r="H48" s="6"/>
    </row>
    <row r="49" spans="1:8" ht="12.75">
      <c r="A49" s="5"/>
      <c r="B49" s="2" t="s">
        <v>29</v>
      </c>
      <c r="F49" s="9">
        <f>2567</f>
        <v>2567</v>
      </c>
      <c r="G49" s="9"/>
      <c r="H49" s="9">
        <f>2575</f>
        <v>2575</v>
      </c>
    </row>
    <row r="50" spans="1:8" ht="12.75">
      <c r="A50" s="5"/>
      <c r="F50" s="9"/>
      <c r="G50" s="9"/>
      <c r="H50" s="9"/>
    </row>
    <row r="51" spans="1:8" ht="12.75">
      <c r="A51" s="5"/>
      <c r="B51" s="2" t="s">
        <v>30</v>
      </c>
      <c r="F51" s="9"/>
      <c r="G51" s="9"/>
      <c r="H51" s="9"/>
    </row>
    <row r="52" spans="1:8" ht="12.75">
      <c r="A52" s="5"/>
      <c r="C52" s="2" t="s">
        <v>121</v>
      </c>
      <c r="F52" s="9">
        <f>33</f>
        <v>33</v>
      </c>
      <c r="G52" s="9"/>
      <c r="H52" s="9">
        <f>1020</f>
        <v>1020</v>
      </c>
    </row>
    <row r="53" spans="1:8" ht="12.75">
      <c r="A53" s="5"/>
      <c r="C53" s="2" t="s">
        <v>138</v>
      </c>
      <c r="F53" s="9">
        <f>539582</f>
        <v>539582</v>
      </c>
      <c r="G53" s="6"/>
      <c r="H53" s="9">
        <f>540864</f>
        <v>540864</v>
      </c>
    </row>
    <row r="54" spans="1:8" ht="12.75">
      <c r="A54" s="5"/>
      <c r="C54" s="2" t="s">
        <v>139</v>
      </c>
      <c r="F54" s="9">
        <f>112596</f>
        <v>112596</v>
      </c>
      <c r="G54" s="6"/>
      <c r="H54" s="9">
        <f>137599</f>
        <v>137599</v>
      </c>
    </row>
    <row r="55" spans="1:8" ht="12.75">
      <c r="A55" s="5"/>
      <c r="C55" s="2" t="s">
        <v>141</v>
      </c>
      <c r="F55" s="9">
        <f>302012</f>
        <v>302012</v>
      </c>
      <c r="G55" s="6"/>
      <c r="H55" s="9">
        <f>302012</f>
        <v>302012</v>
      </c>
    </row>
    <row r="56" spans="1:10" ht="12.75">
      <c r="A56" s="5"/>
      <c r="C56" s="2" t="s">
        <v>142</v>
      </c>
      <c r="F56" s="9">
        <f>11593</f>
        <v>11593</v>
      </c>
      <c r="G56" s="6"/>
      <c r="H56" s="9">
        <f>11593</f>
        <v>11593</v>
      </c>
      <c r="J56" s="2" t="s">
        <v>18</v>
      </c>
    </row>
    <row r="57" spans="1:8" ht="12.75">
      <c r="A57" s="5"/>
      <c r="F57" s="12">
        <f>SUM(F52:F56)</f>
        <v>965816</v>
      </c>
      <c r="G57" s="6"/>
      <c r="H57" s="12">
        <f>SUM(H52:H56)</f>
        <v>993088</v>
      </c>
    </row>
    <row r="58" spans="1:8" ht="12.75">
      <c r="A58" s="5"/>
      <c r="F58" s="9"/>
      <c r="G58" s="6"/>
      <c r="H58" s="6"/>
    </row>
    <row r="59" spans="1:8" ht="13.5" thickBot="1">
      <c r="A59" s="5"/>
      <c r="F59" s="72">
        <f>SUM(F47:F56)</f>
        <v>2032290</v>
      </c>
      <c r="G59" s="9"/>
      <c r="H59" s="72">
        <f>+SUM(H47:H49,H57)</f>
        <v>2077237</v>
      </c>
    </row>
    <row r="60" spans="1:8" ht="12.75">
      <c r="A60" s="5"/>
      <c r="F60" s="6">
        <f>+F39-F59</f>
        <v>0</v>
      </c>
      <c r="G60" s="9"/>
      <c r="H60" s="6">
        <f>+H39-H59</f>
        <v>0</v>
      </c>
    </row>
    <row r="61" spans="6:8" ht="12.75">
      <c r="F61" s="16" t="s">
        <v>18</v>
      </c>
      <c r="H61" s="7" t="s">
        <v>18</v>
      </c>
    </row>
    <row r="62" spans="2:7" ht="12.75">
      <c r="B62" s="2" t="s">
        <v>31</v>
      </c>
      <c r="G62" s="19"/>
    </row>
    <row r="63" spans="2:8" ht="13.5" thickBot="1">
      <c r="B63" s="2" t="s">
        <v>160</v>
      </c>
      <c r="F63" s="17">
        <f>(+F47-F19)/(598845-877)</f>
        <v>1.7778978139298425</v>
      </c>
      <c r="G63" s="18"/>
      <c r="H63" s="17">
        <f>(+H47-H19)/(598845)</f>
        <v>1.80473244328666</v>
      </c>
    </row>
    <row r="64" ht="13.5" thickTop="1">
      <c r="F64" s="16">
        <f>+F59-F39</f>
        <v>0</v>
      </c>
    </row>
    <row r="65" ht="12.75">
      <c r="G65" s="16"/>
    </row>
    <row r="66" ht="12.75">
      <c r="D66" s="20"/>
    </row>
    <row r="67" ht="12.75">
      <c r="C67" s="20" t="s">
        <v>32</v>
      </c>
    </row>
    <row r="68" ht="12.75">
      <c r="C68" s="20" t="s">
        <v>151</v>
      </c>
    </row>
  </sheetData>
  <printOptions/>
  <pageMargins left="0.75" right="0.31" top="0.5" bottom="0.5" header="0.17" footer="0.26"/>
  <pageSetup fitToHeight="1" fitToWidth="1" horizontalDpi="600" verticalDpi="600" orientation="portrait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0"/>
  <sheetViews>
    <sheetView showGridLines="0" workbookViewId="0" topLeftCell="A1">
      <pane xSplit="3" ySplit="8" topLeftCell="D47" activePane="bottomRight" state="frozen"/>
      <selection pane="topLeft" activeCell="A1" sqref="A1"/>
      <selection pane="topRight" activeCell="D1" sqref="D1"/>
      <selection pane="bottomLeft" activeCell="A9" sqref="A9"/>
      <selection pane="bottomRight" activeCell="D49" sqref="D49"/>
    </sheetView>
  </sheetViews>
  <sheetFormatPr defaultColWidth="8.796875" defaultRowHeight="15"/>
  <cols>
    <col min="1" max="1" width="1.4921875" style="2" customWidth="1"/>
    <col min="2" max="2" width="25.59765625" style="2" customWidth="1"/>
    <col min="3" max="3" width="4.8984375" style="2" customWidth="1"/>
    <col min="4" max="6" width="16.3984375" style="6" customWidth="1"/>
    <col min="7" max="7" width="16.8984375" style="6" customWidth="1"/>
    <col min="8" max="8" width="9.5" style="2" customWidth="1"/>
    <col min="9" max="16384" width="9" style="2" customWidth="1"/>
  </cols>
  <sheetData>
    <row r="1" ht="12.75">
      <c r="A1" s="21" t="s">
        <v>0</v>
      </c>
    </row>
    <row r="2" ht="12.75">
      <c r="G2" s="105">
        <f>+'BS'!H2</f>
        <v>0</v>
      </c>
    </row>
    <row r="3" spans="2:7" ht="12.75">
      <c r="B3" s="21" t="s">
        <v>33</v>
      </c>
      <c r="G3" s="73"/>
    </row>
    <row r="4" ht="12.75">
      <c r="B4" s="21" t="s">
        <v>153</v>
      </c>
    </row>
    <row r="6" spans="4:7" ht="12.75">
      <c r="D6" s="22" t="s">
        <v>122</v>
      </c>
      <c r="E6" s="22" t="s">
        <v>34</v>
      </c>
      <c r="F6" s="22" t="str">
        <f>+D6</f>
        <v>2005</v>
      </c>
      <c r="G6" s="22" t="str">
        <f>+E6</f>
        <v>2004</v>
      </c>
    </row>
    <row r="7" spans="4:7" ht="12.75">
      <c r="D7" s="23" t="s">
        <v>35</v>
      </c>
      <c r="E7" s="23" t="s">
        <v>36</v>
      </c>
      <c r="F7" s="24" t="s">
        <v>155</v>
      </c>
      <c r="G7" s="24" t="str">
        <f>+F7</f>
        <v>3 months</v>
      </c>
    </row>
    <row r="8" spans="4:7" ht="12.75">
      <c r="D8" s="25" t="s">
        <v>154</v>
      </c>
      <c r="E8" s="25" t="str">
        <f>+D8</f>
        <v>Ended 30 Apr</v>
      </c>
      <c r="F8" s="25" t="s">
        <v>37</v>
      </c>
      <c r="G8" s="25" t="str">
        <f>+F8</f>
        <v>Cumulative to-date</v>
      </c>
    </row>
    <row r="9" spans="4:7" ht="12.75">
      <c r="D9" s="26" t="s">
        <v>38</v>
      </c>
      <c r="E9" s="26" t="s">
        <v>38</v>
      </c>
      <c r="F9" s="26" t="s">
        <v>38</v>
      </c>
      <c r="G9" s="26" t="s">
        <v>38</v>
      </c>
    </row>
    <row r="10" spans="3:7" ht="12.75">
      <c r="C10" s="27"/>
      <c r="D10" s="14"/>
      <c r="E10" s="14"/>
      <c r="F10" s="14"/>
      <c r="G10" s="14"/>
    </row>
    <row r="11" spans="2:7" ht="12.75">
      <c r="B11" s="2" t="s">
        <v>39</v>
      </c>
      <c r="C11" s="27"/>
      <c r="D11" s="93">
        <f>175954</f>
        <v>175954</v>
      </c>
      <c r="E11" s="14">
        <f>302578</f>
        <v>302578</v>
      </c>
      <c r="F11" s="14">
        <f>+D11</f>
        <v>175954</v>
      </c>
      <c r="G11" s="14">
        <f>302578</f>
        <v>302578</v>
      </c>
    </row>
    <row r="12" spans="3:7" ht="12.75">
      <c r="C12" s="27"/>
      <c r="D12" s="31"/>
      <c r="E12" s="14"/>
      <c r="F12" s="14"/>
      <c r="G12" s="14"/>
    </row>
    <row r="13" spans="2:7" ht="12.75">
      <c r="B13" s="2" t="s">
        <v>40</v>
      </c>
      <c r="C13" s="27"/>
      <c r="D13" s="14">
        <f>-144737-27684</f>
        <v>-172421</v>
      </c>
      <c r="E13" s="14">
        <f>-275051</f>
        <v>-275051</v>
      </c>
      <c r="F13" s="14">
        <f>+D13</f>
        <v>-172421</v>
      </c>
      <c r="G13" s="14">
        <f>-275051</f>
        <v>-275051</v>
      </c>
    </row>
    <row r="14" spans="3:7" ht="12.75">
      <c r="C14" s="27"/>
      <c r="D14" s="14"/>
      <c r="E14" s="14"/>
      <c r="F14" s="14"/>
      <c r="G14" s="14"/>
    </row>
    <row r="15" spans="2:7" ht="12.75">
      <c r="B15" s="2" t="s">
        <v>167</v>
      </c>
      <c r="C15" s="27"/>
      <c r="D15" s="14">
        <v>-28000</v>
      </c>
      <c r="E15" s="14">
        <v>0</v>
      </c>
      <c r="F15" s="14">
        <v>-28000</v>
      </c>
      <c r="G15" s="14">
        <v>0</v>
      </c>
    </row>
    <row r="16" spans="3:7" ht="12.75">
      <c r="C16" s="27"/>
      <c r="D16" s="14"/>
      <c r="E16" s="14"/>
      <c r="F16" s="14"/>
      <c r="G16" s="14"/>
    </row>
    <row r="17" spans="2:7" ht="12.75">
      <c r="B17" s="2" t="s">
        <v>41</v>
      </c>
      <c r="C17" s="27"/>
      <c r="D17" s="14">
        <f>3087</f>
        <v>3087</v>
      </c>
      <c r="E17" s="14">
        <f>6732</f>
        <v>6732</v>
      </c>
      <c r="F17" s="14">
        <f>+D17</f>
        <v>3087</v>
      </c>
      <c r="G17" s="14">
        <f>6732</f>
        <v>6732</v>
      </c>
    </row>
    <row r="18" spans="3:7" ht="4.5" customHeight="1">
      <c r="C18" s="27"/>
      <c r="D18" s="14"/>
      <c r="E18" s="14"/>
      <c r="F18" s="14"/>
      <c r="G18" s="14"/>
    </row>
    <row r="19" spans="2:7" ht="19.5" customHeight="1">
      <c r="B19" s="2" t="s">
        <v>168</v>
      </c>
      <c r="C19" s="27"/>
      <c r="D19" s="13">
        <f>SUM(D11:D17)</f>
        <v>-21380</v>
      </c>
      <c r="E19" s="13">
        <f>SUM(E11:E17)</f>
        <v>34259</v>
      </c>
      <c r="F19" s="13">
        <f>SUM(F11:F17)</f>
        <v>-21380</v>
      </c>
      <c r="G19" s="13">
        <f>SUM(G11:G17)</f>
        <v>34259</v>
      </c>
    </row>
    <row r="20" spans="3:7" ht="12.75" customHeight="1">
      <c r="C20" s="29" t="s">
        <v>18</v>
      </c>
      <c r="D20" s="14"/>
      <c r="E20" s="14"/>
      <c r="F20" s="14" t="s">
        <v>18</v>
      </c>
      <c r="G20" s="14"/>
    </row>
    <row r="21" spans="2:7" ht="12.75" customHeight="1">
      <c r="B21" s="2" t="s">
        <v>42</v>
      </c>
      <c r="D21" s="14">
        <f>-5155</f>
        <v>-5155</v>
      </c>
      <c r="E21" s="14">
        <f>-3932</f>
        <v>-3932</v>
      </c>
      <c r="F21" s="14">
        <f>+D21</f>
        <v>-5155</v>
      </c>
      <c r="G21" s="14">
        <f>-3932</f>
        <v>-3932</v>
      </c>
    </row>
    <row r="22" spans="4:7" ht="12.75">
      <c r="D22" s="14"/>
      <c r="E22" s="14"/>
      <c r="F22" s="14"/>
      <c r="G22" s="14"/>
    </row>
    <row r="23" spans="2:7" ht="12.75">
      <c r="B23" s="2" t="s">
        <v>43</v>
      </c>
      <c r="D23" s="14">
        <f>191</f>
        <v>191</v>
      </c>
      <c r="E23" s="14">
        <v>0</v>
      </c>
      <c r="F23" s="14">
        <f>+D23</f>
        <v>191</v>
      </c>
      <c r="G23" s="14">
        <v>0</v>
      </c>
    </row>
    <row r="24" spans="4:7" ht="4.5" customHeight="1">
      <c r="D24" s="28"/>
      <c r="E24" s="28"/>
      <c r="F24" s="28"/>
      <c r="G24" s="28"/>
    </row>
    <row r="25" spans="2:7" ht="19.5" customHeight="1">
      <c r="B25" s="2" t="s">
        <v>169</v>
      </c>
      <c r="D25" s="93">
        <f>SUM(D19:D23)</f>
        <v>-26344</v>
      </c>
      <c r="E25" s="14">
        <f>SUM(E19:E23)</f>
        <v>30327</v>
      </c>
      <c r="F25" s="14">
        <f>SUM(F19:F23)</f>
        <v>-26344</v>
      </c>
      <c r="G25" s="14">
        <f>SUM(G19:G23)</f>
        <v>30327</v>
      </c>
    </row>
    <row r="26" spans="4:7" ht="12.75">
      <c r="D26" s="31" t="s">
        <v>18</v>
      </c>
      <c r="E26" s="14"/>
      <c r="F26" s="14"/>
      <c r="G26" s="14"/>
    </row>
    <row r="27" spans="2:7" ht="12.75">
      <c r="B27" s="2" t="s">
        <v>23</v>
      </c>
      <c r="D27" s="93">
        <f>-596+7840</f>
        <v>7244</v>
      </c>
      <c r="E27" s="14">
        <f>-10205</f>
        <v>-10205</v>
      </c>
      <c r="F27" s="14">
        <f>+D27</f>
        <v>7244</v>
      </c>
      <c r="G27" s="14">
        <f>-10205</f>
        <v>-10205</v>
      </c>
    </row>
    <row r="28" spans="4:7" ht="4.5" customHeight="1">
      <c r="D28" s="32"/>
      <c r="E28" s="28"/>
      <c r="F28" s="28"/>
      <c r="G28" s="28"/>
    </row>
    <row r="29" spans="2:7" ht="19.5" customHeight="1">
      <c r="B29" s="2" t="s">
        <v>170</v>
      </c>
      <c r="D29" s="93">
        <f>SUM(D25:D27)</f>
        <v>-19100</v>
      </c>
      <c r="E29" s="14">
        <f>SUM(E25:E27)</f>
        <v>20122</v>
      </c>
      <c r="F29" s="14">
        <f>SUM(F25:F27)</f>
        <v>-19100</v>
      </c>
      <c r="G29" s="14">
        <f>SUM(G25:G27)</f>
        <v>20122</v>
      </c>
    </row>
    <row r="30" spans="4:7" ht="12.75">
      <c r="D30" s="31"/>
      <c r="E30" s="14"/>
      <c r="F30" s="14"/>
      <c r="G30" s="14"/>
    </row>
    <row r="31" spans="2:7" ht="12.75">
      <c r="B31" s="2" t="s">
        <v>44</v>
      </c>
      <c r="D31" s="93">
        <f>8</f>
        <v>8</v>
      </c>
      <c r="E31" s="14">
        <f>400</f>
        <v>400</v>
      </c>
      <c r="F31" s="14">
        <f>+D31</f>
        <v>8</v>
      </c>
      <c r="G31" s="14">
        <f>400</f>
        <v>400</v>
      </c>
    </row>
    <row r="32" spans="4:7" ht="4.5" customHeight="1">
      <c r="D32" s="32"/>
      <c r="E32" s="28"/>
      <c r="F32" s="28"/>
      <c r="G32" s="28"/>
    </row>
    <row r="33" spans="2:7" ht="19.5" customHeight="1">
      <c r="B33" s="2" t="s">
        <v>171</v>
      </c>
      <c r="D33" s="30">
        <f>SUM(D29:D31)</f>
        <v>-19092</v>
      </c>
      <c r="E33" s="13">
        <f>SUM(E29:E31)</f>
        <v>20522</v>
      </c>
      <c r="F33" s="13">
        <f>SUM(F29:F31)</f>
        <v>-19092</v>
      </c>
      <c r="G33" s="13">
        <f>SUM(G29:G31)</f>
        <v>20522</v>
      </c>
    </row>
    <row r="34" spans="4:7" ht="4.5" customHeight="1">
      <c r="D34" s="32"/>
      <c r="E34" s="28"/>
      <c r="F34" s="28"/>
      <c r="G34" s="28"/>
    </row>
    <row r="35" spans="4:7" ht="12.75">
      <c r="D35" s="31"/>
      <c r="E35" s="14"/>
      <c r="F35" s="14"/>
      <c r="G35" s="14"/>
    </row>
    <row r="36" spans="2:7" ht="12.75">
      <c r="B36" s="2" t="s">
        <v>172</v>
      </c>
      <c r="D36" s="91">
        <f>+D33/D42*100</f>
        <v>-3.1881318402393934</v>
      </c>
      <c r="E36" s="91">
        <f>+E33/E42*100</f>
        <v>3.641551518851</v>
      </c>
      <c r="F36" s="91">
        <f>+F33/F42*100</f>
        <v>-3.1881318402393934</v>
      </c>
      <c r="G36" s="91">
        <f>+G33/G42*100</f>
        <v>3.641551518851</v>
      </c>
    </row>
    <row r="37" spans="4:7" ht="4.5" customHeight="1">
      <c r="D37" s="91"/>
      <c r="E37" s="91"/>
      <c r="F37" s="91"/>
      <c r="G37" s="91"/>
    </row>
    <row r="38" spans="2:7" s="92" customFormat="1" ht="12.75">
      <c r="B38" s="92" t="s">
        <v>173</v>
      </c>
      <c r="D38" s="97" t="s">
        <v>161</v>
      </c>
      <c r="E38" s="94">
        <v>3.4</v>
      </c>
      <c r="F38" s="97" t="s">
        <v>161</v>
      </c>
      <c r="G38" s="94">
        <f>3.4</f>
        <v>3.4</v>
      </c>
    </row>
    <row r="39" spans="4:7" ht="4.5" customHeight="1">
      <c r="D39" s="90"/>
      <c r="E39" s="28"/>
      <c r="F39" s="28"/>
      <c r="G39" s="28"/>
    </row>
    <row r="40" spans="4:7" ht="12.75" customHeight="1">
      <c r="D40" s="19"/>
      <c r="E40" s="9"/>
      <c r="F40" s="9"/>
      <c r="G40" s="9"/>
    </row>
    <row r="41" spans="2:7" ht="12.75">
      <c r="B41" s="2" t="s">
        <v>46</v>
      </c>
      <c r="D41" s="33"/>
      <c r="E41" s="13"/>
      <c r="F41" s="13"/>
      <c r="G41" s="13"/>
    </row>
    <row r="42" spans="2:7" ht="12.75">
      <c r="B42" s="2" t="s">
        <v>123</v>
      </c>
      <c r="D42" s="14">
        <f>598846</f>
        <v>598846</v>
      </c>
      <c r="E42" s="14">
        <f>563551</f>
        <v>563551</v>
      </c>
      <c r="F42" s="14">
        <f>+D42</f>
        <v>598846</v>
      </c>
      <c r="G42" s="14">
        <f>563551</f>
        <v>563551</v>
      </c>
    </row>
    <row r="43" spans="4:7" ht="4.5" customHeight="1">
      <c r="D43" s="28"/>
      <c r="E43" s="28"/>
      <c r="F43" s="28"/>
      <c r="G43" s="28"/>
    </row>
    <row r="44" ht="12.75">
      <c r="G44" s="16" t="s">
        <v>18</v>
      </c>
    </row>
    <row r="47" ht="12.75">
      <c r="C47" s="2" t="s">
        <v>47</v>
      </c>
    </row>
    <row r="48" ht="12.75">
      <c r="C48" s="2" t="s">
        <v>156</v>
      </c>
    </row>
    <row r="50" ht="15.75">
      <c r="B50" s="103" t="s">
        <v>174</v>
      </c>
    </row>
  </sheetData>
  <printOptions/>
  <pageMargins left="0.75" right="0.75" top="1" bottom="1" header="0.5" footer="0.5"/>
  <pageSetup fitToHeight="1" fitToWidth="1" horizontalDpi="600" verticalDpi="600" orientation="portrait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62"/>
  <sheetViews>
    <sheetView workbookViewId="0" topLeftCell="A1">
      <pane xSplit="3" ySplit="11" topLeftCell="H50" activePane="bottomRight" state="frozen"/>
      <selection pane="topLeft" activeCell="A1" sqref="A1"/>
      <selection pane="topRight" activeCell="D1" sqref="D1"/>
      <selection pane="bottomLeft" activeCell="A12" sqref="A12"/>
      <selection pane="bottomRight" activeCell="I3" sqref="I3"/>
    </sheetView>
  </sheetViews>
  <sheetFormatPr defaultColWidth="8.796875" defaultRowHeight="15"/>
  <cols>
    <col min="1" max="1" width="2.59765625" style="20" customWidth="1"/>
    <col min="2" max="2" width="3.59765625" style="20" customWidth="1"/>
    <col min="3" max="3" width="33.09765625" style="20" customWidth="1"/>
    <col min="4" max="4" width="10.59765625" style="55" customWidth="1"/>
    <col min="5" max="5" width="10.69921875" style="55" customWidth="1"/>
    <col min="6" max="9" width="10.59765625" style="55" customWidth="1"/>
    <col min="10" max="10" width="10.59765625" style="59" customWidth="1"/>
    <col min="11" max="11" width="10.59765625" style="55" customWidth="1"/>
    <col min="12" max="16384" width="11.19921875" style="20" customWidth="1"/>
  </cols>
  <sheetData>
    <row r="1" ht="12.75">
      <c r="B1" s="1" t="s">
        <v>0</v>
      </c>
    </row>
    <row r="2" ht="12.75">
      <c r="J2" s="104">
        <f>+'BS'!H2</f>
        <v>0</v>
      </c>
    </row>
    <row r="3" ht="12.75">
      <c r="C3" s="1" t="s">
        <v>98</v>
      </c>
    </row>
    <row r="4" ht="12.75">
      <c r="C4" s="1" t="s">
        <v>150</v>
      </c>
    </row>
    <row r="5" spans="4:11" s="52" customFormat="1" ht="12.75" customHeight="1">
      <c r="D5" s="51"/>
      <c r="E5" s="51"/>
      <c r="F5" s="107" t="s">
        <v>144</v>
      </c>
      <c r="G5" s="107"/>
      <c r="H5" s="107"/>
      <c r="I5" s="107"/>
      <c r="J5" s="60" t="s">
        <v>99</v>
      </c>
      <c r="K5" s="51"/>
    </row>
    <row r="6" ht="12.75">
      <c r="J6" s="60" t="s">
        <v>100</v>
      </c>
    </row>
    <row r="7" ht="6.75" customHeight="1">
      <c r="J7" s="60"/>
    </row>
    <row r="8" spans="4:10" ht="12.75">
      <c r="D8" s="54" t="s">
        <v>101</v>
      </c>
      <c r="E8" s="54" t="s">
        <v>106</v>
      </c>
      <c r="F8" s="54" t="s">
        <v>102</v>
      </c>
      <c r="G8" s="54" t="s">
        <v>101</v>
      </c>
      <c r="H8" s="54" t="s">
        <v>103</v>
      </c>
      <c r="I8" s="54" t="s">
        <v>104</v>
      </c>
      <c r="J8" s="54" t="s">
        <v>105</v>
      </c>
    </row>
    <row r="9" spans="4:11" ht="12.75">
      <c r="D9" s="57" t="s">
        <v>102</v>
      </c>
      <c r="E9" s="57" t="s">
        <v>111</v>
      </c>
      <c r="F9" s="57" t="s">
        <v>100</v>
      </c>
      <c r="G9" s="57" t="s">
        <v>107</v>
      </c>
      <c r="H9" s="57" t="s">
        <v>108</v>
      </c>
      <c r="I9" s="54" t="s">
        <v>109</v>
      </c>
      <c r="J9" s="54" t="s">
        <v>110</v>
      </c>
      <c r="K9" s="57" t="s">
        <v>112</v>
      </c>
    </row>
    <row r="10" spans="3:11" ht="12.75">
      <c r="C10" s="61"/>
      <c r="D10" s="62"/>
      <c r="E10" s="62"/>
      <c r="F10" s="62"/>
      <c r="G10" s="62"/>
      <c r="H10" s="62" t="s">
        <v>100</v>
      </c>
      <c r="I10" s="62" t="s">
        <v>113</v>
      </c>
      <c r="J10" s="63"/>
      <c r="K10" s="62"/>
    </row>
    <row r="11" spans="3:14" ht="12.75">
      <c r="C11" s="64"/>
      <c r="D11" s="54" t="s">
        <v>50</v>
      </c>
      <c r="E11" s="54" t="s">
        <v>50</v>
      </c>
      <c r="F11" s="54" t="s">
        <v>50</v>
      </c>
      <c r="G11" s="54" t="s">
        <v>38</v>
      </c>
      <c r="H11" s="54" t="s">
        <v>38</v>
      </c>
      <c r="I11" s="54" t="s">
        <v>50</v>
      </c>
      <c r="J11" s="54" t="s">
        <v>38</v>
      </c>
      <c r="K11" s="54" t="s">
        <v>50</v>
      </c>
      <c r="N11" s="65"/>
    </row>
    <row r="12" spans="3:14" ht="12.75">
      <c r="C12" s="64"/>
      <c r="D12" s="54"/>
      <c r="E12" s="54"/>
      <c r="F12" s="54"/>
      <c r="G12" s="54"/>
      <c r="H12" s="54"/>
      <c r="I12" s="54"/>
      <c r="J12" s="54"/>
      <c r="K12" s="54"/>
      <c r="N12" s="65"/>
    </row>
    <row r="13" spans="3:14" ht="12.75">
      <c r="C13" s="61" t="s">
        <v>158</v>
      </c>
      <c r="D13" s="54"/>
      <c r="E13" s="54"/>
      <c r="F13" s="54"/>
      <c r="G13" s="54"/>
      <c r="H13" s="54"/>
      <c r="I13" s="54"/>
      <c r="J13" s="54"/>
      <c r="K13" s="54"/>
      <c r="N13" s="65"/>
    </row>
    <row r="15" spans="3:11" ht="12.75">
      <c r="C15" s="20" t="s">
        <v>120</v>
      </c>
      <c r="D15" s="55">
        <f>600290</f>
        <v>600290</v>
      </c>
      <c r="E15" s="55">
        <f>-23</f>
        <v>-23</v>
      </c>
      <c r="F15" s="55">
        <f>11201</f>
        <v>11201</v>
      </c>
      <c r="G15" s="55">
        <f>124551</f>
        <v>124551</v>
      </c>
      <c r="H15" s="55">
        <f>11773</f>
        <v>11773</v>
      </c>
      <c r="I15" s="55">
        <f>31816</f>
        <v>31816</v>
      </c>
      <c r="J15" s="55">
        <f>226410</f>
        <v>226410</v>
      </c>
      <c r="K15" s="55">
        <f>SUM(D15:J15)</f>
        <v>1006018</v>
      </c>
    </row>
    <row r="16" ht="12.75">
      <c r="J16" s="66"/>
    </row>
    <row r="17" spans="3:11" ht="12.75">
      <c r="C17" s="67" t="s">
        <v>117</v>
      </c>
      <c r="D17" s="55">
        <f>16479</f>
        <v>16479</v>
      </c>
      <c r="E17" s="55">
        <v>0</v>
      </c>
      <c r="J17" s="66"/>
      <c r="K17" s="55">
        <f>SUM(D17:J17)</f>
        <v>16479</v>
      </c>
    </row>
    <row r="18" spans="4:10" ht="12.75">
      <c r="D18" s="58"/>
      <c r="E18" s="58"/>
      <c r="G18" s="58"/>
      <c r="J18" s="66"/>
    </row>
    <row r="19" spans="3:11" ht="12.75">
      <c r="C19" s="67" t="s">
        <v>145</v>
      </c>
      <c r="D19" s="58">
        <f>6</f>
        <v>6</v>
      </c>
      <c r="E19" s="58">
        <v>0</v>
      </c>
      <c r="G19" s="58"/>
      <c r="J19" s="66"/>
      <c r="K19" s="55">
        <f>SUM(D19:J19)</f>
        <v>6</v>
      </c>
    </row>
    <row r="20" spans="3:10" ht="12.75">
      <c r="C20" s="67"/>
      <c r="J20" s="66"/>
    </row>
    <row r="21" spans="3:11" ht="12.75">
      <c r="C21" s="20" t="s">
        <v>118</v>
      </c>
      <c r="D21" s="55">
        <f>3093</f>
        <v>3093</v>
      </c>
      <c r="E21" s="55">
        <v>0</v>
      </c>
      <c r="F21" s="55">
        <v>0</v>
      </c>
      <c r="G21" s="55">
        <v>0</v>
      </c>
      <c r="H21" s="55">
        <v>0</v>
      </c>
      <c r="I21" s="55">
        <v>0</v>
      </c>
      <c r="J21" s="66">
        <v>0</v>
      </c>
      <c r="K21" s="55">
        <f>SUM(D21:J21)</f>
        <v>3093</v>
      </c>
    </row>
    <row r="22" ht="12.75">
      <c r="J22" s="66"/>
    </row>
    <row r="23" spans="3:10" ht="12.75">
      <c r="C23" s="20" t="s">
        <v>146</v>
      </c>
      <c r="J23" s="66"/>
    </row>
    <row r="24" spans="3:11" ht="12.75">
      <c r="C24" s="20" t="s">
        <v>147</v>
      </c>
      <c r="D24" s="55">
        <v>0</v>
      </c>
      <c r="E24" s="55">
        <f>-5701</f>
        <v>-5701</v>
      </c>
      <c r="J24" s="66"/>
      <c r="K24" s="55">
        <f>SUM(D24:J24)</f>
        <v>-5701</v>
      </c>
    </row>
    <row r="25" ht="12.75">
      <c r="J25" s="66"/>
    </row>
    <row r="26" spans="3:11" ht="12.75">
      <c r="C26" s="20" t="s">
        <v>114</v>
      </c>
      <c r="D26" s="55">
        <f>0</f>
        <v>0</v>
      </c>
      <c r="E26" s="55">
        <f>5724</f>
        <v>5724</v>
      </c>
      <c r="F26" s="55">
        <f>0</f>
        <v>0</v>
      </c>
      <c r="G26" s="55">
        <v>0</v>
      </c>
      <c r="H26" s="55">
        <v>0</v>
      </c>
      <c r="I26" s="55">
        <f>0</f>
        <v>0</v>
      </c>
      <c r="J26" s="66">
        <v>0</v>
      </c>
      <c r="K26" s="55">
        <f>SUM(D26:J26)</f>
        <v>5724</v>
      </c>
    </row>
    <row r="27" ht="12.75">
      <c r="J27" s="66"/>
    </row>
    <row r="28" spans="3:11" ht="12.75">
      <c r="C28" s="20" t="s">
        <v>127</v>
      </c>
      <c r="D28" s="55">
        <v>0</v>
      </c>
      <c r="E28" s="55">
        <v>0</v>
      </c>
      <c r="F28" s="55">
        <v>0</v>
      </c>
      <c r="G28" s="55">
        <v>0</v>
      </c>
      <c r="H28" s="55">
        <v>0</v>
      </c>
      <c r="I28" s="55">
        <v>0</v>
      </c>
      <c r="J28" s="66">
        <f>138</f>
        <v>138</v>
      </c>
      <c r="K28" s="55">
        <f>SUM(D28:J28)</f>
        <v>138</v>
      </c>
    </row>
    <row r="29" ht="12.75">
      <c r="J29" s="66"/>
    </row>
    <row r="30" spans="3:11" ht="12.75">
      <c r="C30" s="20" t="s">
        <v>148</v>
      </c>
      <c r="D30" s="55">
        <v>0</v>
      </c>
      <c r="E30" s="55">
        <v>0</v>
      </c>
      <c r="F30" s="55">
        <v>0</v>
      </c>
      <c r="G30" s="55">
        <v>0</v>
      </c>
      <c r="H30" s="55">
        <v>0</v>
      </c>
      <c r="I30" s="55">
        <f>-13655</f>
        <v>-13655</v>
      </c>
      <c r="J30" s="66">
        <v>0</v>
      </c>
      <c r="K30" s="55">
        <f>SUM(D30:J30)</f>
        <v>-13655</v>
      </c>
    </row>
    <row r="31" ht="12.75">
      <c r="J31" s="66"/>
    </row>
    <row r="32" spans="3:11" ht="12.75">
      <c r="C32" s="20" t="s">
        <v>115</v>
      </c>
      <c r="D32" s="55">
        <f>0</f>
        <v>0</v>
      </c>
      <c r="E32" s="55">
        <v>0</v>
      </c>
      <c r="F32" s="58">
        <v>0</v>
      </c>
      <c r="G32" s="55">
        <v>0</v>
      </c>
      <c r="H32" s="58">
        <f>-39</f>
        <v>-39</v>
      </c>
      <c r="I32" s="55">
        <f>0</f>
        <v>0</v>
      </c>
      <c r="J32" s="66">
        <v>0</v>
      </c>
      <c r="K32" s="55">
        <f>SUM(D32:J32)</f>
        <v>-39</v>
      </c>
    </row>
    <row r="33" spans="6:10" ht="12.75">
      <c r="F33" s="58"/>
      <c r="H33" s="58"/>
      <c r="J33" s="66"/>
    </row>
    <row r="34" spans="3:11" ht="12.75">
      <c r="C34" s="20" t="s">
        <v>119</v>
      </c>
      <c r="D34" s="58">
        <f>0</f>
        <v>0</v>
      </c>
      <c r="E34" s="58">
        <v>0</v>
      </c>
      <c r="F34" s="58">
        <f>0</f>
        <v>0</v>
      </c>
      <c r="G34" s="58">
        <v>0</v>
      </c>
      <c r="H34" s="58">
        <v>0</v>
      </c>
      <c r="I34" s="58">
        <f>0</f>
        <v>0</v>
      </c>
      <c r="J34" s="66">
        <f>92021</f>
        <v>92021</v>
      </c>
      <c r="K34" s="58">
        <f>SUM(D34:J34)</f>
        <v>92021</v>
      </c>
    </row>
    <row r="35" spans="4:11" ht="12.75">
      <c r="D35" s="58"/>
      <c r="E35" s="58"/>
      <c r="F35" s="58"/>
      <c r="G35" s="58"/>
      <c r="H35" s="58"/>
      <c r="I35" s="58"/>
      <c r="J35" s="66"/>
      <c r="K35" s="58"/>
    </row>
    <row r="36" spans="3:11" ht="12.75">
      <c r="C36" s="20" t="s">
        <v>116</v>
      </c>
      <c r="D36" s="58">
        <v>0</v>
      </c>
      <c r="E36" s="58">
        <v>0</v>
      </c>
      <c r="F36" s="58">
        <v>0</v>
      </c>
      <c r="G36" s="58">
        <v>0</v>
      </c>
      <c r="H36" s="58">
        <v>0</v>
      </c>
      <c r="I36" s="58">
        <v>0</v>
      </c>
      <c r="J36" s="66">
        <f>-22510</f>
        <v>-22510</v>
      </c>
      <c r="K36" s="58">
        <f>SUM(D36:J36)</f>
        <v>-22510</v>
      </c>
    </row>
    <row r="37" spans="4:11" ht="12.75">
      <c r="D37" s="56"/>
      <c r="E37" s="56"/>
      <c r="F37" s="56"/>
      <c r="G37" s="56"/>
      <c r="H37" s="56"/>
      <c r="I37" s="56"/>
      <c r="J37" s="68"/>
      <c r="K37" s="56"/>
    </row>
    <row r="38" spans="3:11" ht="12.75">
      <c r="C38" s="52" t="s">
        <v>129</v>
      </c>
      <c r="D38" s="69">
        <f aca="true" t="shared" si="0" ref="D38:K38">SUM(D15:D36)</f>
        <v>619868</v>
      </c>
      <c r="E38" s="69">
        <f t="shared" si="0"/>
        <v>0</v>
      </c>
      <c r="F38" s="69">
        <f t="shared" si="0"/>
        <v>11201</v>
      </c>
      <c r="G38" s="69">
        <f t="shared" si="0"/>
        <v>124551</v>
      </c>
      <c r="H38" s="69">
        <f t="shared" si="0"/>
        <v>11734</v>
      </c>
      <c r="I38" s="69">
        <f t="shared" si="0"/>
        <v>18161</v>
      </c>
      <c r="J38" s="69">
        <f t="shared" si="0"/>
        <v>296059</v>
      </c>
      <c r="K38" s="69">
        <f t="shared" si="0"/>
        <v>1081574</v>
      </c>
    </row>
    <row r="39" spans="4:12" ht="12.75">
      <c r="D39" s="58"/>
      <c r="E39" s="58"/>
      <c r="F39" s="58"/>
      <c r="G39" s="58"/>
      <c r="H39" s="58"/>
      <c r="I39" s="58"/>
      <c r="K39" s="58"/>
      <c r="L39" s="70"/>
    </row>
    <row r="40" spans="4:12" ht="12.75">
      <c r="D40" s="58"/>
      <c r="E40" s="58"/>
      <c r="F40" s="58"/>
      <c r="G40" s="58"/>
      <c r="H40" s="58"/>
      <c r="I40" s="58"/>
      <c r="K40" s="58"/>
      <c r="L40" s="70"/>
    </row>
    <row r="41" spans="3:12" ht="12.75">
      <c r="C41" s="61" t="s">
        <v>149</v>
      </c>
      <c r="D41" s="58"/>
      <c r="E41" s="58"/>
      <c r="F41" s="58"/>
      <c r="G41" s="58"/>
      <c r="H41" s="58"/>
      <c r="I41" s="58"/>
      <c r="K41" s="58"/>
      <c r="L41" s="70"/>
    </row>
    <row r="42" ht="12.75">
      <c r="J42" s="66"/>
    </row>
    <row r="43" spans="3:11" ht="12.75">
      <c r="C43" s="20" t="s">
        <v>129</v>
      </c>
      <c r="D43" s="55">
        <f>+D38</f>
        <v>619868</v>
      </c>
      <c r="E43" s="55">
        <f aca="true" t="shared" si="1" ref="E43:J43">+E38</f>
        <v>0</v>
      </c>
      <c r="F43" s="55">
        <f t="shared" si="1"/>
        <v>11201</v>
      </c>
      <c r="G43" s="55">
        <f t="shared" si="1"/>
        <v>124551</v>
      </c>
      <c r="H43" s="55">
        <f t="shared" si="1"/>
        <v>11734</v>
      </c>
      <c r="I43" s="55">
        <f t="shared" si="1"/>
        <v>18161</v>
      </c>
      <c r="J43" s="55">
        <f t="shared" si="1"/>
        <v>296059</v>
      </c>
      <c r="K43" s="55">
        <f>SUM(D43:J43)</f>
        <v>1081574</v>
      </c>
    </row>
    <row r="44" ht="12.75">
      <c r="J44" s="66"/>
    </row>
    <row r="45" spans="3:11" ht="12.75">
      <c r="C45" s="67" t="s">
        <v>117</v>
      </c>
      <c r="D45" s="58">
        <f>2370</f>
        <v>2370</v>
      </c>
      <c r="E45" s="58">
        <v>0</v>
      </c>
      <c r="F45" s="55">
        <v>0</v>
      </c>
      <c r="G45" s="58">
        <v>0</v>
      </c>
      <c r="H45" s="55">
        <v>0</v>
      </c>
      <c r="I45" s="55">
        <f>-2370</f>
        <v>-2370</v>
      </c>
      <c r="J45" s="66">
        <v>0</v>
      </c>
      <c r="K45" s="55">
        <f>SUM(D45:J45)</f>
        <v>0</v>
      </c>
    </row>
    <row r="46" spans="4:10" ht="12.75">
      <c r="D46" s="58"/>
      <c r="E46" s="58"/>
      <c r="G46" s="58"/>
      <c r="J46" s="66"/>
    </row>
    <row r="47" spans="3:11" ht="12.75">
      <c r="C47" s="95" t="s">
        <v>159</v>
      </c>
      <c r="D47" s="58">
        <v>0</v>
      </c>
      <c r="E47" s="58">
        <v>0</v>
      </c>
      <c r="F47" s="55">
        <v>0</v>
      </c>
      <c r="G47" s="58">
        <v>0</v>
      </c>
      <c r="H47" s="55">
        <v>0</v>
      </c>
      <c r="I47" s="55">
        <f>987</f>
        <v>987</v>
      </c>
      <c r="J47" s="66">
        <v>0</v>
      </c>
      <c r="K47" s="55">
        <f>SUM(D47:J47)</f>
        <v>987</v>
      </c>
    </row>
    <row r="48" spans="4:10" ht="12.75">
      <c r="D48" s="58"/>
      <c r="E48" s="58"/>
      <c r="G48" s="58"/>
      <c r="J48" s="66"/>
    </row>
    <row r="49" spans="3:11" ht="12.75">
      <c r="C49" s="20" t="s">
        <v>118</v>
      </c>
      <c r="D49" s="58">
        <f>1282</f>
        <v>1282</v>
      </c>
      <c r="E49" s="58">
        <v>0</v>
      </c>
      <c r="F49" s="55">
        <v>0</v>
      </c>
      <c r="G49" s="58">
        <v>0</v>
      </c>
      <c r="H49" s="55">
        <v>0</v>
      </c>
      <c r="I49" s="55">
        <v>0</v>
      </c>
      <c r="J49" s="66">
        <v>0</v>
      </c>
      <c r="K49" s="55">
        <f>SUM(D49:J49)</f>
        <v>1282</v>
      </c>
    </row>
    <row r="50" spans="4:10" ht="12.75">
      <c r="D50" s="58"/>
      <c r="E50" s="58"/>
      <c r="G50" s="58"/>
      <c r="J50" s="66"/>
    </row>
    <row r="51" spans="3:10" ht="12.75">
      <c r="C51" s="20" t="s">
        <v>146</v>
      </c>
      <c r="D51" s="58"/>
      <c r="E51" s="58"/>
      <c r="G51" s="58"/>
      <c r="J51" s="66"/>
    </row>
    <row r="52" spans="3:11" ht="12.75">
      <c r="C52" s="20" t="s">
        <v>147</v>
      </c>
      <c r="D52" s="58">
        <v>0</v>
      </c>
      <c r="E52" s="58">
        <f>-844</f>
        <v>-844</v>
      </c>
      <c r="F52" s="55">
        <v>0</v>
      </c>
      <c r="G52" s="58">
        <v>0</v>
      </c>
      <c r="H52" s="55">
        <v>0</v>
      </c>
      <c r="I52" s="55">
        <v>0</v>
      </c>
      <c r="J52" s="66">
        <v>0</v>
      </c>
      <c r="K52" s="55">
        <f>SUM(D52:J52)</f>
        <v>-844</v>
      </c>
    </row>
    <row r="53" spans="3:10" ht="12.75">
      <c r="C53" s="71"/>
      <c r="F53" s="58"/>
      <c r="H53" s="58"/>
      <c r="J53" s="66"/>
    </row>
    <row r="54" spans="3:11" s="70" customFormat="1" ht="12.75">
      <c r="C54" s="70" t="s">
        <v>45</v>
      </c>
      <c r="D54" s="58">
        <v>0</v>
      </c>
      <c r="E54" s="58">
        <v>0</v>
      </c>
      <c r="F54" s="55">
        <v>0</v>
      </c>
      <c r="G54" s="58">
        <v>0</v>
      </c>
      <c r="H54" s="55">
        <v>0</v>
      </c>
      <c r="I54" s="55">
        <v>0</v>
      </c>
      <c r="J54" s="66">
        <f>'IS'!D33</f>
        <v>-19092</v>
      </c>
      <c r="K54" s="55">
        <f>SUM(D54:J54)</f>
        <v>-19092</v>
      </c>
    </row>
    <row r="55" spans="3:11" ht="12.75">
      <c r="C55" s="70"/>
      <c r="D55" s="56"/>
      <c r="E55" s="56"/>
      <c r="F55" s="56"/>
      <c r="G55" s="56"/>
      <c r="H55" s="56"/>
      <c r="I55" s="56"/>
      <c r="J55" s="56"/>
      <c r="K55" s="56"/>
    </row>
    <row r="56" spans="3:11" ht="12.75">
      <c r="C56" s="52" t="s">
        <v>162</v>
      </c>
      <c r="D56" s="69">
        <f aca="true" t="shared" si="2" ref="D56:K56">SUM(D43:D55)</f>
        <v>623520</v>
      </c>
      <c r="E56" s="69">
        <f t="shared" si="2"/>
        <v>-844</v>
      </c>
      <c r="F56" s="69">
        <f t="shared" si="2"/>
        <v>11201</v>
      </c>
      <c r="G56" s="69">
        <f t="shared" si="2"/>
        <v>124551</v>
      </c>
      <c r="H56" s="69">
        <f t="shared" si="2"/>
        <v>11734</v>
      </c>
      <c r="I56" s="69">
        <f t="shared" si="2"/>
        <v>16778</v>
      </c>
      <c r="J56" s="69">
        <f t="shared" si="2"/>
        <v>276967</v>
      </c>
      <c r="K56" s="69">
        <f t="shared" si="2"/>
        <v>1063907</v>
      </c>
    </row>
    <row r="57" spans="10:11" ht="12.75">
      <c r="J57" s="55"/>
      <c r="K57" s="55">
        <f>-'BS'!F47+K56</f>
        <v>0</v>
      </c>
    </row>
    <row r="61" spans="4:7" ht="12.75">
      <c r="D61" s="20" t="s">
        <v>58</v>
      </c>
      <c r="E61" s="20"/>
      <c r="G61" s="20"/>
    </row>
    <row r="62" spans="4:7" ht="12.75">
      <c r="D62" s="20" t="s">
        <v>151</v>
      </c>
      <c r="E62" s="20"/>
      <c r="G62" s="20"/>
    </row>
  </sheetData>
  <mergeCells count="1">
    <mergeCell ref="F5:I5"/>
  </mergeCells>
  <printOptions/>
  <pageMargins left="0.37" right="0.31" top="0.29" bottom="0.3" header="0.17" footer="0.17"/>
  <pageSetup fitToHeight="1" fitToWidth="1" horizontalDpi="600" verticalDpi="600" orientation="portrait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53"/>
  <sheetViews>
    <sheetView workbookViewId="0" topLeftCell="A1">
      <pane xSplit="4" ySplit="8" topLeftCell="F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M3" sqref="M3"/>
    </sheetView>
  </sheetViews>
  <sheetFormatPr defaultColWidth="8.796875" defaultRowHeight="15"/>
  <cols>
    <col min="1" max="1" width="1.59765625" style="20" customWidth="1"/>
    <col min="2" max="2" width="3.59765625" style="53" customWidth="1"/>
    <col min="3" max="3" width="2.59765625" style="20" customWidth="1"/>
    <col min="4" max="4" width="25.19921875" style="20" customWidth="1"/>
    <col min="5" max="5" width="15.59765625" style="54" customWidth="1"/>
    <col min="6" max="6" width="1.59765625" style="55" customWidth="1"/>
    <col min="7" max="7" width="10.8984375" style="54" customWidth="1"/>
    <col min="8" max="8" width="1.59765625" style="55" customWidth="1"/>
    <col min="9" max="9" width="10.59765625" style="54" customWidth="1"/>
    <col min="10" max="10" width="1.59765625" style="55" customWidth="1"/>
    <col min="11" max="11" width="10.59765625" style="55" customWidth="1"/>
    <col min="12" max="12" width="0.8984375" style="55" customWidth="1"/>
    <col min="13" max="13" width="15.59765625" style="55" customWidth="1"/>
    <col min="14" max="15" width="12.59765625" style="20" customWidth="1"/>
    <col min="16" max="16384" width="9" style="20" customWidth="1"/>
  </cols>
  <sheetData>
    <row r="2" spans="2:13" s="52" customFormat="1" ht="12.75">
      <c r="B2" s="49">
        <v>9</v>
      </c>
      <c r="C2" s="1" t="s">
        <v>59</v>
      </c>
      <c r="D2" s="1"/>
      <c r="E2" s="50"/>
      <c r="F2" s="51"/>
      <c r="G2" s="50"/>
      <c r="H2" s="51"/>
      <c r="I2" s="50"/>
      <c r="J2" s="51"/>
      <c r="K2" s="51"/>
      <c r="L2" s="51"/>
      <c r="M2" s="51"/>
    </row>
    <row r="3" ht="12.75">
      <c r="M3" s="74">
        <f>+'BS'!H2</f>
        <v>0</v>
      </c>
    </row>
    <row r="4" spans="2:13" s="52" customFormat="1" ht="12.75">
      <c r="B4" s="49" t="s">
        <v>60</v>
      </c>
      <c r="C4" s="1" t="s">
        <v>61</v>
      </c>
      <c r="D4" s="1"/>
      <c r="E4" s="50"/>
      <c r="F4" s="51"/>
      <c r="G4" s="50"/>
      <c r="H4" s="51"/>
      <c r="I4" s="50"/>
      <c r="J4" s="51"/>
      <c r="K4" s="51"/>
      <c r="L4" s="51"/>
      <c r="M4" s="74"/>
    </row>
    <row r="5" spans="6:13" ht="12.75">
      <c r="F5" s="54"/>
      <c r="G5" s="50" t="s">
        <v>63</v>
      </c>
      <c r="H5" s="54"/>
      <c r="J5" s="54"/>
      <c r="K5" s="54"/>
      <c r="L5" s="54"/>
      <c r="M5" s="54"/>
    </row>
    <row r="6" spans="5:13" s="49" customFormat="1" ht="12.75">
      <c r="E6" s="50" t="s">
        <v>62</v>
      </c>
      <c r="F6" s="50"/>
      <c r="G6" s="50" t="s">
        <v>166</v>
      </c>
      <c r="H6" s="50"/>
      <c r="I6" s="50" t="s">
        <v>64</v>
      </c>
      <c r="J6" s="50"/>
      <c r="K6" s="50"/>
      <c r="L6" s="50"/>
      <c r="M6" s="50"/>
    </row>
    <row r="7" spans="5:13" s="49" customFormat="1" ht="12.75">
      <c r="E7" s="50" t="s">
        <v>65</v>
      </c>
      <c r="F7" s="50"/>
      <c r="G7" s="50" t="s">
        <v>66</v>
      </c>
      <c r="H7" s="50"/>
      <c r="I7" s="50" t="s">
        <v>67</v>
      </c>
      <c r="J7" s="50"/>
      <c r="K7" s="50" t="s">
        <v>68</v>
      </c>
      <c r="L7" s="50"/>
      <c r="M7" s="50" t="s">
        <v>69</v>
      </c>
    </row>
    <row r="8" spans="5:13" s="49" customFormat="1" ht="12.75">
      <c r="E8" s="50" t="s">
        <v>38</v>
      </c>
      <c r="F8" s="50"/>
      <c r="G8" s="50" t="s">
        <v>38</v>
      </c>
      <c r="H8" s="50"/>
      <c r="I8" s="50" t="s">
        <v>38</v>
      </c>
      <c r="J8" s="50"/>
      <c r="K8" s="50" t="s">
        <v>38</v>
      </c>
      <c r="L8" s="50"/>
      <c r="M8" s="50" t="s">
        <v>38</v>
      </c>
    </row>
    <row r="10" ht="12.75">
      <c r="C10" s="52" t="s">
        <v>70</v>
      </c>
    </row>
    <row r="12" spans="4:13" ht="12.75">
      <c r="D12" s="20" t="s">
        <v>71</v>
      </c>
      <c r="E12" s="77">
        <v>174537</v>
      </c>
      <c r="F12" s="77"/>
      <c r="G12" s="77">
        <v>1417</v>
      </c>
      <c r="H12" s="77"/>
      <c r="I12" s="77">
        <f>SUM(E12:H12)</f>
        <v>175954</v>
      </c>
      <c r="J12" s="77"/>
      <c r="K12" s="77">
        <v>0</v>
      </c>
      <c r="L12" s="77"/>
      <c r="M12" s="77">
        <f>+I12+K12</f>
        <v>175954</v>
      </c>
    </row>
    <row r="13" spans="5:13" ht="12.75">
      <c r="E13" s="77"/>
      <c r="F13" s="77"/>
      <c r="G13" s="77"/>
      <c r="H13" s="77"/>
      <c r="I13" s="77"/>
      <c r="J13" s="77"/>
      <c r="K13" s="77"/>
      <c r="L13" s="77"/>
      <c r="M13" s="77"/>
    </row>
    <row r="14" spans="4:13" ht="12.75">
      <c r="D14" s="20" t="s">
        <v>72</v>
      </c>
      <c r="E14" s="77"/>
      <c r="F14" s="77"/>
      <c r="G14" s="77"/>
      <c r="H14" s="77"/>
      <c r="I14" s="77">
        <f>SUM(E14:G14)</f>
        <v>0</v>
      </c>
      <c r="J14" s="77"/>
      <c r="K14" s="77">
        <f>-I14</f>
        <v>0</v>
      </c>
      <c r="L14" s="77"/>
      <c r="M14" s="77">
        <f>+I14+K14</f>
        <v>0</v>
      </c>
    </row>
    <row r="15" spans="5:13" ht="12.75">
      <c r="E15" s="77"/>
      <c r="F15" s="77"/>
      <c r="G15" s="77"/>
      <c r="H15" s="77"/>
      <c r="I15" s="77"/>
      <c r="J15" s="77"/>
      <c r="K15" s="77"/>
      <c r="L15" s="77"/>
      <c r="M15" s="77"/>
    </row>
    <row r="16" spans="4:13" ht="12.75">
      <c r="D16" s="20" t="s">
        <v>73</v>
      </c>
      <c r="E16" s="78">
        <f>SUM(E12:E15)</f>
        <v>174537</v>
      </c>
      <c r="F16" s="78" t="s">
        <v>18</v>
      </c>
      <c r="G16" s="78">
        <f>SUM(G12:G15)</f>
        <v>1417</v>
      </c>
      <c r="H16" s="78" t="s">
        <v>18</v>
      </c>
      <c r="I16" s="78">
        <f>SUM(I12:I15)</f>
        <v>175954</v>
      </c>
      <c r="J16" s="78">
        <f>SUM(J12:J15)</f>
        <v>0</v>
      </c>
      <c r="K16" s="78">
        <f>SUM(K12:K15)</f>
        <v>0</v>
      </c>
      <c r="L16" s="78">
        <f>SUM(L12:L15)</f>
        <v>0</v>
      </c>
      <c r="M16" s="78">
        <f>SUM(M12:M15)</f>
        <v>175954</v>
      </c>
    </row>
    <row r="17" spans="5:13" ht="12.75">
      <c r="E17" s="77"/>
      <c r="F17" s="77"/>
      <c r="G17" s="77"/>
      <c r="H17" s="77"/>
      <c r="I17" s="77"/>
      <c r="J17" s="77"/>
      <c r="K17" s="77"/>
      <c r="L17" s="77"/>
      <c r="M17" s="77" t="s">
        <v>18</v>
      </c>
    </row>
    <row r="18" spans="3:13" ht="12.75">
      <c r="C18" s="52" t="s">
        <v>74</v>
      </c>
      <c r="E18" s="77"/>
      <c r="F18" s="77"/>
      <c r="G18" s="77"/>
      <c r="H18" s="77"/>
      <c r="I18" s="77"/>
      <c r="J18" s="77"/>
      <c r="K18" s="77"/>
      <c r="L18" s="77"/>
      <c r="M18" s="77"/>
    </row>
    <row r="19" spans="5:13" ht="12.75">
      <c r="E19" s="77"/>
      <c r="F19" s="77"/>
      <c r="G19" s="77"/>
      <c r="H19" s="77"/>
      <c r="I19" s="77" t="s">
        <v>18</v>
      </c>
      <c r="J19" s="77"/>
      <c r="K19" s="77"/>
      <c r="L19" s="77"/>
      <c r="M19" s="77" t="s">
        <v>18</v>
      </c>
    </row>
    <row r="20" spans="4:13" ht="12.75">
      <c r="D20" s="20" t="s">
        <v>175</v>
      </c>
      <c r="E20" s="77">
        <v>-21733</v>
      </c>
      <c r="F20" s="77"/>
      <c r="G20" s="77">
        <v>544</v>
      </c>
      <c r="H20" s="77"/>
      <c r="I20" s="77">
        <f>SUM(E20:G20)</f>
        <v>-21189</v>
      </c>
      <c r="J20" s="77"/>
      <c r="K20" s="77"/>
      <c r="L20" s="77"/>
      <c r="M20" s="77">
        <f>+I20+K20</f>
        <v>-21189</v>
      </c>
    </row>
    <row r="21" spans="4:13" ht="12.75">
      <c r="D21" s="20" t="s">
        <v>75</v>
      </c>
      <c r="E21" s="77">
        <v>2126</v>
      </c>
      <c r="F21" s="77"/>
      <c r="G21" s="77">
        <v>0</v>
      </c>
      <c r="H21" s="77"/>
      <c r="I21" s="77">
        <f>SUM(E21:G21)</f>
        <v>2126</v>
      </c>
      <c r="J21" s="77"/>
      <c r="K21" s="77"/>
      <c r="L21" s="77"/>
      <c r="M21" s="77">
        <f>+I21+K21</f>
        <v>2126</v>
      </c>
    </row>
    <row r="22" spans="4:13" ht="12.75">
      <c r="D22" s="20" t="s">
        <v>76</v>
      </c>
      <c r="E22" s="77">
        <v>-6456</v>
      </c>
      <c r="F22" s="77"/>
      <c r="G22" s="77">
        <v>-825</v>
      </c>
      <c r="H22" s="77"/>
      <c r="I22" s="77">
        <f>SUM(E22:G22)</f>
        <v>-7281</v>
      </c>
      <c r="J22" s="77"/>
      <c r="K22" s="77"/>
      <c r="L22" s="77"/>
      <c r="M22" s="79">
        <f>+I22+K22</f>
        <v>-7281</v>
      </c>
    </row>
    <row r="23" spans="4:13" ht="12.75">
      <c r="D23" s="20" t="s">
        <v>77</v>
      </c>
      <c r="E23" s="78">
        <f>SUM(E20:E22)</f>
        <v>-26063</v>
      </c>
      <c r="F23" s="78"/>
      <c r="G23" s="78">
        <f>SUM(G20:G22)</f>
        <v>-281</v>
      </c>
      <c r="H23" s="78"/>
      <c r="I23" s="78">
        <f>SUM(I20:I22)</f>
        <v>-26344</v>
      </c>
      <c r="J23" s="78"/>
      <c r="K23" s="78">
        <f>SUM(K20:K22)</f>
        <v>0</v>
      </c>
      <c r="L23" s="78"/>
      <c r="M23" s="80">
        <f>SUM(M20:M22)</f>
        <v>-26344</v>
      </c>
    </row>
    <row r="25" spans="4:13" ht="12.75">
      <c r="D25" s="20" t="s">
        <v>78</v>
      </c>
      <c r="I25" s="54" t="s">
        <v>18</v>
      </c>
      <c r="M25" s="80">
        <f>+M23</f>
        <v>-26344</v>
      </c>
    </row>
    <row r="26" spans="9:13" ht="12.75">
      <c r="I26" s="54" t="s">
        <v>18</v>
      </c>
      <c r="M26" s="80"/>
    </row>
    <row r="27" spans="4:13" ht="12.75">
      <c r="D27" s="20" t="s">
        <v>79</v>
      </c>
      <c r="M27" s="77">
        <f>-596+7840</f>
        <v>7244</v>
      </c>
    </row>
    <row r="28" ht="12.75">
      <c r="M28" s="77"/>
    </row>
    <row r="29" spans="4:13" ht="13.5" thickBot="1">
      <c r="D29" s="20" t="s">
        <v>80</v>
      </c>
      <c r="M29" s="81">
        <f>+M25+M27</f>
        <v>-19100</v>
      </c>
    </row>
    <row r="30" ht="12.75">
      <c r="M30" s="77" t="s">
        <v>18</v>
      </c>
    </row>
    <row r="31" ht="12.75">
      <c r="M31" s="77"/>
    </row>
    <row r="32" spans="2:13" s="2" customFormat="1" ht="12.75">
      <c r="B32" s="5"/>
      <c r="C32" s="3" t="s">
        <v>81</v>
      </c>
      <c r="E32" s="8"/>
      <c r="F32" s="6"/>
      <c r="G32" s="8"/>
      <c r="H32" s="6"/>
      <c r="I32" s="8"/>
      <c r="J32" s="6"/>
      <c r="K32" s="6"/>
      <c r="L32" s="6"/>
      <c r="M32" s="82"/>
    </row>
    <row r="33" spans="2:13" s="2" customFormat="1" ht="12.75">
      <c r="B33" s="5"/>
      <c r="D33" s="2" t="s">
        <v>82</v>
      </c>
      <c r="E33" s="82"/>
      <c r="F33" s="82"/>
      <c r="G33" s="82"/>
      <c r="H33" s="82"/>
      <c r="I33" s="82">
        <v>0</v>
      </c>
      <c r="J33" s="82"/>
      <c r="K33" s="82">
        <v>0</v>
      </c>
      <c r="L33" s="82"/>
      <c r="M33" s="77">
        <f>+I33+K33</f>
        <v>0</v>
      </c>
    </row>
    <row r="34" spans="2:13" s="2" customFormat="1" ht="12.75">
      <c r="B34" s="5"/>
      <c r="D34" s="2" t="s">
        <v>124</v>
      </c>
      <c r="E34" s="82">
        <v>2142</v>
      </c>
      <c r="F34" s="82"/>
      <c r="G34" s="82">
        <v>262</v>
      </c>
      <c r="H34" s="82"/>
      <c r="I34" s="82">
        <f>+E34+G34</f>
        <v>2404</v>
      </c>
      <c r="J34" s="82"/>
      <c r="K34" s="82">
        <v>0</v>
      </c>
      <c r="L34" s="82"/>
      <c r="M34" s="77">
        <f>+I34+K34</f>
        <v>2404</v>
      </c>
    </row>
    <row r="35" spans="2:13" s="2" customFormat="1" ht="12.75">
      <c r="B35" s="5"/>
      <c r="D35" s="2" t="s">
        <v>125</v>
      </c>
      <c r="E35" s="82"/>
      <c r="F35" s="82"/>
      <c r="G35" s="82"/>
      <c r="H35" s="82"/>
      <c r="I35" s="82"/>
      <c r="J35" s="82"/>
      <c r="K35" s="82"/>
      <c r="L35" s="82"/>
      <c r="M35" s="77"/>
    </row>
    <row r="36" spans="2:13" s="2" customFormat="1" ht="12.75">
      <c r="B36" s="5"/>
      <c r="D36" s="2" t="s">
        <v>126</v>
      </c>
      <c r="E36" s="82"/>
      <c r="F36" s="82"/>
      <c r="G36" s="82"/>
      <c r="H36" s="82"/>
      <c r="I36" s="82">
        <v>0</v>
      </c>
      <c r="J36" s="82"/>
      <c r="K36" s="82">
        <v>0</v>
      </c>
      <c r="L36" s="82"/>
      <c r="M36" s="77">
        <f>+I36+K36</f>
        <v>0</v>
      </c>
    </row>
    <row r="37" ht="12.75">
      <c r="M37" s="77"/>
    </row>
    <row r="38" spans="3:13" ht="12.75">
      <c r="C38" s="52" t="s">
        <v>83</v>
      </c>
      <c r="M38" s="77"/>
    </row>
    <row r="39" spans="3:13" ht="12.75">
      <c r="C39" s="52" t="s">
        <v>84</v>
      </c>
      <c r="M39" s="77"/>
    </row>
    <row r="40" spans="4:14" ht="13.5" thickBot="1">
      <c r="D40" s="20" t="s">
        <v>85</v>
      </c>
      <c r="E40" s="77">
        <f>1326606+2281041</f>
        <v>3607647</v>
      </c>
      <c r="F40" s="77"/>
      <c r="G40" s="77">
        <f>158644+5328</f>
        <v>163972</v>
      </c>
      <c r="H40" s="77"/>
      <c r="I40" s="77">
        <f>+E40+G40</f>
        <v>3771619</v>
      </c>
      <c r="J40" s="77"/>
      <c r="K40" s="77">
        <v>0</v>
      </c>
      <c r="L40" s="77"/>
      <c r="M40" s="83">
        <f>+I40+K40</f>
        <v>3771619</v>
      </c>
      <c r="N40" s="84"/>
    </row>
    <row r="41" spans="5:14" ht="12.75">
      <c r="E41" s="77"/>
      <c r="F41" s="77"/>
      <c r="G41" s="77"/>
      <c r="H41" s="77"/>
      <c r="I41" s="77"/>
      <c r="J41" s="77"/>
      <c r="K41" s="77"/>
      <c r="L41" s="77"/>
      <c r="M41" s="77" t="s">
        <v>18</v>
      </c>
      <c r="N41" s="77"/>
    </row>
    <row r="42" spans="3:14" ht="12.75">
      <c r="C42" s="52" t="s">
        <v>86</v>
      </c>
      <c r="E42" s="77"/>
      <c r="F42" s="77"/>
      <c r="G42" s="77"/>
      <c r="H42" s="77"/>
      <c r="I42" s="77"/>
      <c r="J42" s="77"/>
      <c r="K42" s="77"/>
      <c r="L42" s="77"/>
      <c r="M42" s="77" t="s">
        <v>18</v>
      </c>
      <c r="N42" s="77"/>
    </row>
    <row r="43" spans="4:14" ht="13.5" thickBot="1">
      <c r="D43" s="20" t="s">
        <v>87</v>
      </c>
      <c r="E43" s="77">
        <f>1408899+954223</f>
        <v>2363122</v>
      </c>
      <c r="F43" s="77"/>
      <c r="G43" s="77">
        <f>101089+67956</f>
        <v>169045</v>
      </c>
      <c r="H43" s="77"/>
      <c r="I43" s="77">
        <f>+E43+G43</f>
        <v>2532167</v>
      </c>
      <c r="J43" s="77"/>
      <c r="K43" s="77">
        <v>0</v>
      </c>
      <c r="L43" s="77"/>
      <c r="M43" s="83">
        <f>+I43+K43</f>
        <v>2532167</v>
      </c>
      <c r="N43" s="77"/>
    </row>
    <row r="44" spans="5:14" ht="12.75">
      <c r="E44" s="77"/>
      <c r="F44" s="77"/>
      <c r="G44" s="77"/>
      <c r="H44" s="77"/>
      <c r="I44" s="77"/>
      <c r="J44" s="77"/>
      <c r="K44" s="77"/>
      <c r="L44" s="77"/>
      <c r="M44" s="77" t="s">
        <v>18</v>
      </c>
      <c r="N44" s="77"/>
    </row>
    <row r="45" ht="12.75">
      <c r="N45" s="55"/>
    </row>
    <row r="46" spans="2:4" ht="12.75">
      <c r="B46" s="49" t="s">
        <v>88</v>
      </c>
      <c r="C46" s="1" t="s">
        <v>89</v>
      </c>
      <c r="D46" s="1"/>
    </row>
    <row r="47" spans="5:13" s="49" customFormat="1" ht="12.75">
      <c r="E47" s="50"/>
      <c r="F47" s="50"/>
      <c r="G47" s="50"/>
      <c r="H47" s="50"/>
      <c r="I47" s="50" t="s">
        <v>90</v>
      </c>
      <c r="J47" s="50"/>
      <c r="K47" s="50" t="s">
        <v>91</v>
      </c>
      <c r="L47" s="50"/>
      <c r="M47" s="50" t="s">
        <v>92</v>
      </c>
    </row>
    <row r="48" spans="5:13" s="49" customFormat="1" ht="12.75">
      <c r="E48" s="50"/>
      <c r="F48" s="50"/>
      <c r="G48" s="50"/>
      <c r="H48" s="50"/>
      <c r="I48" s="50" t="s">
        <v>93</v>
      </c>
      <c r="J48" s="50"/>
      <c r="K48" s="50" t="s">
        <v>94</v>
      </c>
      <c r="L48" s="50"/>
      <c r="M48" s="50" t="s">
        <v>95</v>
      </c>
    </row>
    <row r="49" spans="5:13" s="49" customFormat="1" ht="12.75">
      <c r="E49" s="50"/>
      <c r="F49" s="50"/>
      <c r="G49" s="50"/>
      <c r="H49" s="50"/>
      <c r="I49" s="50" t="s">
        <v>38</v>
      </c>
      <c r="J49" s="50"/>
      <c r="K49" s="50" t="s">
        <v>38</v>
      </c>
      <c r="L49" s="50"/>
      <c r="M49" s="50" t="s">
        <v>38</v>
      </c>
    </row>
    <row r="50" spans="3:13" ht="12.75">
      <c r="C50" s="20" t="s">
        <v>96</v>
      </c>
      <c r="I50" s="77">
        <v>174537</v>
      </c>
      <c r="J50" s="77"/>
      <c r="K50" s="77">
        <v>3610329</v>
      </c>
      <c r="L50" s="77"/>
      <c r="M50" s="77">
        <v>0</v>
      </c>
    </row>
    <row r="51" spans="3:13" ht="12.75">
      <c r="C51" s="20" t="s">
        <v>97</v>
      </c>
      <c r="I51" s="77">
        <f>+G12</f>
        <v>1417</v>
      </c>
      <c r="J51" s="77"/>
      <c r="K51" s="77">
        <f>+G40-246-1433-1003</f>
        <v>161290</v>
      </c>
      <c r="L51" s="77"/>
      <c r="M51" s="77">
        <v>0</v>
      </c>
    </row>
    <row r="52" spans="9:13" ht="13.5" thickBot="1">
      <c r="I52" s="81">
        <f>SUM(I50:I51)</f>
        <v>175954</v>
      </c>
      <c r="J52" s="81"/>
      <c r="K52" s="81">
        <f>SUM(K50:K51)</f>
        <v>3771619</v>
      </c>
      <c r="L52" s="81"/>
      <c r="M52" s="81">
        <f>SUM(M50:M51)</f>
        <v>0</v>
      </c>
    </row>
    <row r="53" spans="9:13" ht="12.75">
      <c r="I53" s="77">
        <f>+I52-M16</f>
        <v>0</v>
      </c>
      <c r="J53" s="77"/>
      <c r="K53" s="77">
        <f>+M40-K52</f>
        <v>0</v>
      </c>
      <c r="L53" s="77"/>
      <c r="M53" s="77">
        <f>+M52-M33</f>
        <v>0</v>
      </c>
    </row>
  </sheetData>
  <printOptions/>
  <pageMargins left="0.75" right="0.75" top="0.41" bottom="0.36" header="0.19" footer="0.22"/>
  <pageSetup fitToHeight="1" fitToWidth="1" horizontalDpi="600" verticalDpi="6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35"/>
  <sheetViews>
    <sheetView workbookViewId="0" topLeftCell="A1">
      <pane xSplit="5" ySplit="3" topLeftCell="F4" activePane="bottomRight" state="frozen"/>
      <selection pane="topLeft" activeCell="A1" sqref="A1"/>
      <selection pane="topRight" activeCell="F1" sqref="F1"/>
      <selection pane="bottomLeft" activeCell="A4" sqref="A4"/>
      <selection pane="bottomRight" activeCell="E6" sqref="E6"/>
    </sheetView>
  </sheetViews>
  <sheetFormatPr defaultColWidth="8.796875" defaultRowHeight="15"/>
  <cols>
    <col min="1" max="1" width="2.59765625" style="35" customWidth="1"/>
    <col min="2" max="2" width="2.59765625" style="34" customWidth="1"/>
    <col min="3" max="3" width="1.59765625" style="35" customWidth="1"/>
    <col min="4" max="4" width="25.59765625" style="35" customWidth="1"/>
    <col min="5" max="5" width="32.59765625" style="35" customWidth="1"/>
    <col min="6" max="6" width="12.59765625" style="36" customWidth="1"/>
    <col min="7" max="7" width="12.59765625" style="37" customWidth="1"/>
    <col min="8" max="8" width="11.09765625" style="37" customWidth="1"/>
    <col min="9" max="9" width="11.09765625" style="35" customWidth="1"/>
    <col min="10" max="16384" width="9" style="35" customWidth="1"/>
  </cols>
  <sheetData>
    <row r="1" spans="2:6" ht="15.75">
      <c r="B1" s="34" t="s">
        <v>48</v>
      </c>
      <c r="F1" s="35"/>
    </row>
    <row r="2" ht="15.75">
      <c r="F2" s="106">
        <f>+seg!M3</f>
        <v>0</v>
      </c>
    </row>
    <row r="3" ht="15.75">
      <c r="F3" s="76"/>
    </row>
    <row r="4" ht="15.75">
      <c r="B4" s="34" t="s">
        <v>49</v>
      </c>
    </row>
    <row r="5" spans="2:8" s="39" customFormat="1" ht="15.75">
      <c r="B5" s="38" t="s">
        <v>163</v>
      </c>
      <c r="F5" s="40" t="s">
        <v>50</v>
      </c>
      <c r="G5" s="41"/>
      <c r="H5" s="41"/>
    </row>
    <row r="6" spans="2:8" s="39" customFormat="1" ht="15.75">
      <c r="B6" s="42"/>
      <c r="F6" s="43" t="s">
        <v>18</v>
      </c>
      <c r="G6" s="41"/>
      <c r="H6" s="41"/>
    </row>
    <row r="7" spans="3:7" ht="15.75">
      <c r="C7" s="35" t="s">
        <v>51</v>
      </c>
      <c r="F7" s="44">
        <v>-41151</v>
      </c>
      <c r="G7" s="45" t="s">
        <v>18</v>
      </c>
    </row>
    <row r="8" ht="15.75">
      <c r="F8" s="44"/>
    </row>
    <row r="9" spans="3:6" ht="15.75">
      <c r="C9" s="35" t="s">
        <v>164</v>
      </c>
      <c r="F9" s="44">
        <v>125</v>
      </c>
    </row>
    <row r="10" ht="15.75">
      <c r="F10" s="44"/>
    </row>
    <row r="11" spans="3:6" ht="15.75">
      <c r="C11" s="35" t="s">
        <v>165</v>
      </c>
      <c r="F11" s="44">
        <v>39076</v>
      </c>
    </row>
    <row r="12" ht="15.75">
      <c r="F12" s="46"/>
    </row>
    <row r="13" spans="2:6" ht="15.75">
      <c r="B13" s="34" t="s">
        <v>52</v>
      </c>
      <c r="F13" s="44">
        <f>SUM(F7:F12)</f>
        <v>-1950</v>
      </c>
    </row>
    <row r="14" ht="15.75">
      <c r="F14" s="44"/>
    </row>
    <row r="15" spans="2:6" ht="15.75">
      <c r="B15" s="34" t="s">
        <v>53</v>
      </c>
      <c r="F15" s="44">
        <f>96065</f>
        <v>96065</v>
      </c>
    </row>
    <row r="16" ht="15.75">
      <c r="F16" s="44"/>
    </row>
    <row r="17" spans="2:6" ht="15.75">
      <c r="B17" s="34" t="s">
        <v>152</v>
      </c>
      <c r="F17" s="47">
        <f>+F13+F15</f>
        <v>94115</v>
      </c>
    </row>
    <row r="18" ht="15.75">
      <c r="F18" s="44">
        <f>F17-F28</f>
        <v>0</v>
      </c>
    </row>
    <row r="20" ht="15.75">
      <c r="B20" s="34" t="s">
        <v>128</v>
      </c>
    </row>
    <row r="21" ht="15.75">
      <c r="C21" s="35" t="s">
        <v>18</v>
      </c>
    </row>
    <row r="22" spans="4:6" ht="15.75">
      <c r="D22" s="35" t="s">
        <v>54</v>
      </c>
      <c r="F22" s="98">
        <v>23166</v>
      </c>
    </row>
    <row r="23" spans="4:6" ht="15.75">
      <c r="D23" s="35" t="s">
        <v>55</v>
      </c>
      <c r="F23" s="99">
        <v>171291</v>
      </c>
    </row>
    <row r="24" ht="15.75">
      <c r="F24" s="98">
        <f>SUM(F20:F23)</f>
        <v>194457</v>
      </c>
    </row>
    <row r="25" spans="4:6" ht="15.75">
      <c r="D25" s="35" t="s">
        <v>56</v>
      </c>
      <c r="F25" s="98">
        <v>-12455</v>
      </c>
    </row>
    <row r="26" ht="15.75">
      <c r="F26" s="100">
        <f>SUM(F24:F25)</f>
        <v>182002</v>
      </c>
    </row>
    <row r="27" spans="2:6" ht="15.75">
      <c r="B27" s="48"/>
      <c r="C27" s="37"/>
      <c r="D27" s="37" t="s">
        <v>57</v>
      </c>
      <c r="E27" s="37"/>
      <c r="F27" s="101">
        <v>-87887</v>
      </c>
    </row>
    <row r="28" spans="2:6" ht="16.5" thickBot="1">
      <c r="B28" s="48"/>
      <c r="C28" s="37"/>
      <c r="D28" s="37"/>
      <c r="E28" s="37"/>
      <c r="F28" s="102">
        <f>+F26+F27</f>
        <v>94115</v>
      </c>
    </row>
    <row r="29" spans="2:6" ht="16.5" thickTop="1">
      <c r="B29" s="48"/>
      <c r="C29" s="37"/>
      <c r="D29" s="37"/>
      <c r="E29" s="37"/>
      <c r="F29" s="44"/>
    </row>
    <row r="30" spans="2:6" ht="15.75">
      <c r="B30" s="48"/>
      <c r="C30" s="37"/>
      <c r="D30" s="37"/>
      <c r="E30" s="37"/>
      <c r="F30" s="44"/>
    </row>
    <row r="31" spans="2:6" ht="15.75">
      <c r="B31" s="48"/>
      <c r="C31" s="37"/>
      <c r="D31" s="20" t="s">
        <v>58</v>
      </c>
      <c r="E31" s="20"/>
      <c r="F31" s="44"/>
    </row>
    <row r="32" spans="2:6" ht="15.75">
      <c r="B32" s="48"/>
      <c r="C32" s="37"/>
      <c r="D32" s="20" t="s">
        <v>151</v>
      </c>
      <c r="E32" s="20"/>
      <c r="F32" s="44"/>
    </row>
    <row r="33" spans="2:6" ht="15.75">
      <c r="B33" s="48"/>
      <c r="C33" s="37"/>
      <c r="D33" s="37"/>
      <c r="E33" s="37"/>
      <c r="F33" s="44"/>
    </row>
    <row r="34" spans="2:6" ht="15.75">
      <c r="B34" s="48"/>
      <c r="C34" s="37"/>
      <c r="D34" s="37"/>
      <c r="E34" s="37"/>
      <c r="F34" s="44"/>
    </row>
    <row r="35" spans="2:6" ht="15.75">
      <c r="B35" s="48"/>
      <c r="C35" s="37"/>
      <c r="D35" s="37"/>
      <c r="E35" s="37"/>
      <c r="F35" s="44"/>
    </row>
  </sheetData>
  <printOptions/>
  <pageMargins left="0.75" right="0.75" top="0.57" bottom="0.73" header="0.28" footer="0.5"/>
  <pageSetup fitToHeight="1" fitToWidth="1" horizontalDpi="600" verticalDpi="600" orientation="portrait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Talam Corporation Bhd</dc:creator>
  <cp:keywords/>
  <dc:description/>
  <cp:lastModifiedBy>Talam Corporation Bhd</cp:lastModifiedBy>
  <cp:lastPrinted>2005-06-30T08:50:44Z</cp:lastPrinted>
  <dcterms:created xsi:type="dcterms:W3CDTF">2004-12-14T03:35:39Z</dcterms:created>
  <dcterms:modified xsi:type="dcterms:W3CDTF">2005-06-30T08:58:09Z</dcterms:modified>
  <cp:category/>
  <cp:version/>
  <cp:contentType/>
  <cp:contentStatus/>
</cp:coreProperties>
</file>